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mc:AlternateContent xmlns:mc="http://schemas.openxmlformats.org/markup-compatibility/2006">
    <mc:Choice Requires="x15">
      <x15ac:absPath xmlns:x15ac="http://schemas.microsoft.com/office/spreadsheetml/2010/11/ac" url="/Users/136525/Downloads/"/>
    </mc:Choice>
  </mc:AlternateContent>
  <xr:revisionPtr revIDLastSave="0" documentId="8_{9FC81607-1AB2-1844-9BD0-5BAA8DC578B2}" xr6:coauthVersionLast="47" xr6:coauthVersionMax="47" xr10:uidLastSave="{00000000-0000-0000-0000-000000000000}"/>
  <bookViews>
    <workbookView xWindow="13920" yWindow="-20480" windowWidth="29900" windowHeight="19520" tabRatio="931" xr2:uid="{00000000-000D-0000-FFFF-FFFF00000000}"/>
  </bookViews>
  <sheets>
    <sheet name="Introduction" sheetId="1" r:id="rId1"/>
    <sheet name="1. Scoping" sheetId="2" r:id="rId2"/>
    <sheet name="2. Hazardous events and trends" sheetId="3" r:id="rId3"/>
    <sheet name="3. Hazards" sheetId="4" r:id="rId4"/>
    <sheet name="4. Design features" sheetId="5" r:id="rId5"/>
    <sheet name="5. Overall resilience" sheetId="17" r:id="rId6"/>
    <sheet name="Overall report" sheetId="8" r:id="rId7"/>
    <sheet name="Impact report" sheetId="19" r:id="rId8"/>
    <sheet name="Strengths report" sheetId="21" r:id="rId9"/>
    <sheet name="Improvements report" sheetId="22" r:id="rId10"/>
    <sheet name="Model_Lists" sheetId="13" state="hidden" r:id="rId11"/>
    <sheet name="OverView_Calc" sheetId="14" state="hidden" r:id="rId12"/>
    <sheet name="DF_Calc" sheetId="11" state="hidden" r:id="rId13"/>
    <sheet name="Hazard_Calc" sheetId="12" state="hidden" r:id="rId14"/>
  </sheets>
  <definedNames>
    <definedName name="_3Hazard">'3. Hazards'!$D$21:$D$49</definedName>
    <definedName name="_3HazardJustification">'3. Hazards'!$H$21:$H$49</definedName>
    <definedName name="_3HazardRating">'3. Hazards'!$G$21:$G$49</definedName>
    <definedName name="_3HazardShow">'3. Hazards'!$J$21:$J$49</definedName>
    <definedName name="_4DesignBlurb">DF_Calc!$P$6:$P$36</definedName>
    <definedName name="_4DesignClimate">DF_Calc!$N$6:$N$36</definedName>
    <definedName name="_4DesignDescription">DF_Calc!$L$6:$L$36</definedName>
    <definedName name="_4DesignFeatures">DF_Calc!$B$6:$B$36</definedName>
    <definedName name="_4DesignImprovement">DF_Calc!$O$6:$O$36</definedName>
    <definedName name="_4DesignShow">DF_Calc!$K$6:$K$36</definedName>
    <definedName name="_4DesignShowImprovement">DF_Calc!$M$6:$M$36</definedName>
    <definedName name="_xlnm._FilterDatabase" localSheetId="13" hidden="1">Hazard_Calc!$A$1:$J$30</definedName>
    <definedName name="CID">Model_Lists!$I$3:$I$10</definedName>
    <definedName name="CID_ChangeCheck">'2. Hazardous events and trends'!$E$7:$E$14</definedName>
    <definedName name="CIDrelevent">DF_Calc!$C$4:$J$4</definedName>
    <definedName name="CIDreleventDefaultMatrix">DF_Calc!$C$10:$J$29</definedName>
    <definedName name="DesignFeature">DF_Calc!$B$10:$B$29</definedName>
    <definedName name="FilterHazard">'3. Hazards'!$E$19</definedName>
    <definedName name="Hazard">Hazard_Calc!$B$2:$B$17</definedName>
    <definedName name="HazardsMatrix">Hazard_Calc!$C$2:$J$17</definedName>
    <definedName name="_xlnm.Print_Area" localSheetId="6">'Overall report'!$A:$K</definedName>
    <definedName name="RatingOptions2">Model_Lists!$B$3:$B$4</definedName>
    <definedName name="RatingOptions3">Model_Lists!$C$3:$C$5</definedName>
    <definedName name="RatingOptionSelect">Model_Lists!$A$3:$A$5</definedName>
    <definedName name="RatingOptionsHazard">Model_Lists!$D$3:$D$5</definedName>
    <definedName name="ratingOverall">Model_Lists!$E$4:$E$6</definedName>
    <definedName name="releventOptions">Model_Lists!$A$4:$A$5</definedName>
    <definedName name="ReportOptions">Model_Lists!$H$3:$H$4</definedName>
    <definedName name="ReportSelect">#REF!</definedName>
    <definedName name="resilienceRating">Model_Lists!$G$3:$G$5</definedName>
    <definedName name="scoreWeight">Model_Lists!$F$4:$F$6</definedName>
    <definedName name="StaffMember">OFFSET('1. Scoping'!$G$7,1,0,COUNTA('1. Scoping'!$G:$G)-1,1)</definedName>
    <definedName name="StaffRole">OFFSET('1. Scoping'!$H$7,1,0,COUNTA('1. Scoping'!$H:$H)-1,1)</definedName>
    <definedName name="TotalScore">Model_Lists!$K$3:$K$7</definedName>
    <definedName name="Z_2AB498D9_D32A_4EB2_B4F2_37A196616A87_.wvu.Cols" localSheetId="2" hidden="1">'2. Hazardous events and trends'!#REF!</definedName>
  </definedNames>
  <calcPr calcId="191029"/>
  <customWorkbookViews>
    <customWorkbookView name="Ian Cunningham - Personal View" guid="{2AB498D9-D32A-4EB2-B4F2-37A196616A87}" mergeInterval="0" personalView="1" maximized="1" xWindow="-9" yWindow="-9" windowWidth="1938" windowHeight="1048" tabRatio="839"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6" i="4" l="1"/>
  <c r="K27" i="12"/>
  <c r="L27" i="12"/>
  <c r="M27" i="12"/>
  <c r="N27" i="12" s="1"/>
  <c r="O27" i="12"/>
  <c r="P27" i="12"/>
  <c r="Q27" i="12"/>
  <c r="R27" i="12"/>
  <c r="K28" i="12"/>
  <c r="L28" i="12"/>
  <c r="M28" i="12"/>
  <c r="N28" i="12" s="1"/>
  <c r="O28" i="12"/>
  <c r="P28" i="12"/>
  <c r="Q28" i="12"/>
  <c r="R28" i="12"/>
  <c r="K29" i="12"/>
  <c r="L29" i="12"/>
  <c r="M29" i="12"/>
  <c r="N29" i="12" s="1"/>
  <c r="O29" i="12"/>
  <c r="P29" i="12"/>
  <c r="Q29" i="12"/>
  <c r="R29" i="12"/>
  <c r="K30" i="12"/>
  <c r="L30" i="12"/>
  <c r="M30" i="12"/>
  <c r="N30" i="12" s="1"/>
  <c r="O30" i="12"/>
  <c r="P30" i="12"/>
  <c r="Q30" i="12"/>
  <c r="R30" i="12"/>
  <c r="B25" i="8" l="1"/>
  <c r="R24" i="12"/>
  <c r="R25" i="12"/>
  <c r="R26" i="12"/>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36" i="11"/>
  <c r="M6" i="11"/>
  <c r="B3" i="14" l="1"/>
  <c r="B10" i="17" s="1"/>
  <c r="B4" i="14"/>
  <c r="B11" i="17" s="1"/>
  <c r="B5" i="14"/>
  <c r="B12" i="17" s="1"/>
  <c r="B6" i="14"/>
  <c r="B7" i="14"/>
  <c r="B14" i="17" s="1"/>
  <c r="B8" i="14"/>
  <c r="B22" i="8" s="1"/>
  <c r="B9" i="14"/>
  <c r="B24" i="8" s="1"/>
  <c r="B2" i="14"/>
  <c r="R33" i="11"/>
  <c r="S33" i="11"/>
  <c r="T33" i="11"/>
  <c r="U33" i="11"/>
  <c r="V33" i="11"/>
  <c r="W33" i="11"/>
  <c r="X33" i="11"/>
  <c r="Y33" i="11"/>
  <c r="R34" i="11"/>
  <c r="S34" i="11"/>
  <c r="T34" i="11"/>
  <c r="U34" i="11"/>
  <c r="V34" i="11"/>
  <c r="W34" i="11"/>
  <c r="X34" i="11"/>
  <c r="Y34" i="11"/>
  <c r="R35" i="11"/>
  <c r="S35" i="11"/>
  <c r="T35" i="11"/>
  <c r="U35" i="11"/>
  <c r="V35" i="11"/>
  <c r="W35" i="11"/>
  <c r="X35" i="11"/>
  <c r="Y35" i="11"/>
  <c r="R36" i="11"/>
  <c r="S36" i="11"/>
  <c r="T36" i="11"/>
  <c r="U36" i="11"/>
  <c r="V36" i="11"/>
  <c r="W36" i="11"/>
  <c r="X36" i="11"/>
  <c r="Y3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O7" i="11"/>
  <c r="O8" i="11"/>
  <c r="O9" i="11"/>
  <c r="O10" i="11"/>
  <c r="O11" i="11"/>
  <c r="O12" i="11"/>
  <c r="O13" i="11"/>
  <c r="O14" i="11"/>
  <c r="O15" i="11"/>
  <c r="O16" i="11"/>
  <c r="O17" i="11"/>
  <c r="O18" i="11"/>
  <c r="O19" i="11"/>
  <c r="O20" i="11"/>
  <c r="O21" i="11"/>
  <c r="O22" i="11"/>
  <c r="O23" i="11"/>
  <c r="O24" i="11"/>
  <c r="O25" i="11"/>
  <c r="O26" i="11"/>
  <c r="O27" i="11"/>
  <c r="O28" i="11"/>
  <c r="O29" i="11"/>
  <c r="O30" i="11"/>
  <c r="O31" i="11"/>
  <c r="O32" i="11"/>
  <c r="O33" i="11"/>
  <c r="O34" i="11"/>
  <c r="O35" i="11"/>
  <c r="O36" i="11"/>
  <c r="O6" i="11"/>
  <c r="N6" i="11"/>
  <c r="L31" i="11"/>
  <c r="L32" i="11"/>
  <c r="L33" i="11"/>
  <c r="L34" i="11"/>
  <c r="L35" i="11"/>
  <c r="L36" i="11"/>
  <c r="K33" i="11"/>
  <c r="K34" i="11"/>
  <c r="K35" i="11"/>
  <c r="K36" i="11"/>
  <c r="L11" i="11"/>
  <c r="L7" i="11"/>
  <c r="L8" i="11"/>
  <c r="L9" i="11"/>
  <c r="L10" i="11"/>
  <c r="L12" i="11"/>
  <c r="L13" i="11"/>
  <c r="L14" i="11"/>
  <c r="L15" i="11"/>
  <c r="L16" i="11"/>
  <c r="L17" i="11"/>
  <c r="L18" i="11"/>
  <c r="L19" i="11"/>
  <c r="L20" i="11"/>
  <c r="L21" i="11"/>
  <c r="L22" i="11"/>
  <c r="L23" i="11"/>
  <c r="L24" i="11"/>
  <c r="L25" i="11"/>
  <c r="L26" i="11"/>
  <c r="L27" i="11"/>
  <c r="L28" i="11"/>
  <c r="L29" i="11"/>
  <c r="L30" i="11"/>
  <c r="L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6" i="11"/>
  <c r="J21" i="4"/>
  <c r="J22" i="4"/>
  <c r="J23" i="4"/>
  <c r="J24" i="4"/>
  <c r="J25" i="4"/>
  <c r="J26" i="4"/>
  <c r="J27" i="4"/>
  <c r="J28" i="4"/>
  <c r="J29" i="4"/>
  <c r="J30" i="4"/>
  <c r="J31" i="4"/>
  <c r="J32" i="4"/>
  <c r="J33" i="4"/>
  <c r="J34" i="4"/>
  <c r="J35" i="4"/>
  <c r="J36" i="4"/>
  <c r="J37" i="4"/>
  <c r="J38" i="4"/>
  <c r="J39" i="4"/>
  <c r="J40" i="4"/>
  <c r="J41" i="4"/>
  <c r="J42" i="4"/>
  <c r="J43" i="4"/>
  <c r="J44" i="4"/>
  <c r="J45" i="4"/>
  <c r="J47" i="4"/>
  <c r="J48" i="4"/>
  <c r="J49" i="4"/>
  <c r="Q33" i="11" l="1"/>
  <c r="E48" i="5" s="1"/>
  <c r="Q35" i="11"/>
  <c r="E50" i="5" s="1"/>
  <c r="B13" i="17"/>
  <c r="C46" i="4" a="1"/>
  <c r="C46" i="4" s="1"/>
  <c r="C41" i="4" a="1"/>
  <c r="C41" i="4" s="1"/>
  <c r="C33" i="4" a="1"/>
  <c r="C33" i="4" s="1"/>
  <c r="C45" i="4" a="1"/>
  <c r="C45" i="4" s="1"/>
  <c r="C49" i="4" a="1"/>
  <c r="C49" i="4" s="1"/>
  <c r="C39" i="4" a="1"/>
  <c r="C39" i="4" s="1"/>
  <c r="C31" i="4" a="1"/>
  <c r="C31" i="4" s="1"/>
  <c r="C23" i="4" a="1"/>
  <c r="C23" i="4" s="1"/>
  <c r="C29" i="4" a="1"/>
  <c r="C29" i="4" s="1"/>
  <c r="C44" i="4" a="1"/>
  <c r="C44" i="4" s="1"/>
  <c r="C25" i="4" a="1"/>
  <c r="C25" i="4" s="1"/>
  <c r="C48" i="4" a="1"/>
  <c r="C48" i="4" s="1"/>
  <c r="C38" i="4" a="1"/>
  <c r="C38" i="4" s="1"/>
  <c r="C30" i="4" a="1"/>
  <c r="C30" i="4" s="1"/>
  <c r="C22" i="4" a="1"/>
  <c r="C22" i="4" s="1"/>
  <c r="C21" i="4" a="1"/>
  <c r="C21" i="4" s="1"/>
  <c r="C28" i="4" a="1"/>
  <c r="C28" i="4" s="1"/>
  <c r="C32" i="4" a="1"/>
  <c r="C32" i="4" s="1"/>
  <c r="C47" i="4" a="1"/>
  <c r="C47" i="4" s="1"/>
  <c r="C37" i="4" a="1"/>
  <c r="C37" i="4" s="1"/>
  <c r="C36" i="4" a="1"/>
  <c r="C36" i="4" s="1"/>
  <c r="C40" i="4" a="1"/>
  <c r="C40" i="4" s="1"/>
  <c r="C43" i="4" a="1"/>
  <c r="C43" i="4" s="1"/>
  <c r="C35" i="4" a="1"/>
  <c r="C35" i="4" s="1"/>
  <c r="C27" i="4" a="1"/>
  <c r="C27" i="4" s="1"/>
  <c r="C42" i="4" a="1"/>
  <c r="C42" i="4" s="1"/>
  <c r="C34" i="4" a="1"/>
  <c r="C34" i="4" s="1"/>
  <c r="C26" i="4" a="1"/>
  <c r="C26" i="4" s="1"/>
  <c r="C24" i="4" a="1"/>
  <c r="C24" i="4" s="1"/>
  <c r="B9" i="17"/>
  <c r="B20" i="8"/>
  <c r="B15" i="17"/>
  <c r="B16" i="8"/>
  <c r="B14" i="8"/>
  <c r="B16" i="17"/>
  <c r="B38" i="5" a="1"/>
  <c r="B38" i="5" s="1"/>
  <c r="B32" i="5" a="1"/>
  <c r="B32" i="5" s="1"/>
  <c r="B43" i="5" a="1"/>
  <c r="B43" i="5" s="1"/>
  <c r="B37" i="5" a="1"/>
  <c r="B37" i="5" s="1"/>
  <c r="B26" i="5" a="1"/>
  <c r="B26" i="5" s="1"/>
  <c r="Q34" i="11"/>
  <c r="E49" i="5" s="1"/>
  <c r="B31" i="5" a="1"/>
  <c r="B31" i="5" s="1"/>
  <c r="B25" i="5" a="1"/>
  <c r="B25" i="5" s="1"/>
  <c r="B12" i="8"/>
  <c r="B42" i="5" a="1"/>
  <c r="B42" i="5" s="1"/>
  <c r="B35" i="5" a="1"/>
  <c r="B35" i="5" s="1"/>
  <c r="B29" i="5" a="1"/>
  <c r="B29" i="5" s="1"/>
  <c r="Q36" i="11"/>
  <c r="B20" i="5" a="1"/>
  <c r="B20" i="5" s="1"/>
  <c r="B41" i="5" a="1"/>
  <c r="B41" i="5" s="1"/>
  <c r="B23" i="5" a="1"/>
  <c r="B23" i="5" s="1"/>
  <c r="B34" i="5" a="1"/>
  <c r="B34" i="5" s="1"/>
  <c r="B28" i="5" a="1"/>
  <c r="B28" i="5" s="1"/>
  <c r="B46" i="5" a="1"/>
  <c r="B46" i="5" s="1"/>
  <c r="B39" i="5" a="1"/>
  <c r="B39" i="5" s="1"/>
  <c r="B33" i="5" a="1"/>
  <c r="B33" i="5" s="1"/>
  <c r="B22" i="5" a="1"/>
  <c r="B22" i="5" s="1"/>
  <c r="B45" i="5" a="1"/>
  <c r="B45" i="5" s="1"/>
  <c r="B27" i="5" a="1"/>
  <c r="B27" i="5" s="1"/>
  <c r="B21" i="5" a="1"/>
  <c r="B21" i="5" s="1"/>
  <c r="B18" i="8"/>
  <c r="B10" i="8"/>
  <c r="F30" i="19" a="1"/>
  <c r="F30" i="19" s="1"/>
  <c r="E30" i="19" s="1"/>
  <c r="C59" i="19" a="1"/>
  <c r="C59" i="19" s="1"/>
  <c r="C46" i="19" a="1"/>
  <c r="C46" i="19" s="1"/>
  <c r="C40" i="19" a="1"/>
  <c r="C40" i="19" s="1"/>
  <c r="C33" i="19" a="1"/>
  <c r="C33" i="19" s="1"/>
  <c r="C27" i="19" a="1"/>
  <c r="C27" i="19" s="1"/>
  <c r="D20" i="19" a="1"/>
  <c r="D20" i="19" s="1"/>
  <c r="D53" i="19" a="1"/>
  <c r="D53" i="19" s="1"/>
  <c r="D47" i="19" a="1"/>
  <c r="D47" i="19" s="1"/>
  <c r="D34" i="19" a="1"/>
  <c r="D34" i="19" s="1"/>
  <c r="D28" i="19" a="1"/>
  <c r="D28" i="19" s="1"/>
  <c r="D21" i="19" a="1"/>
  <c r="D21" i="19" s="1"/>
  <c r="F54" i="19" a="1"/>
  <c r="F54" i="19" s="1"/>
  <c r="E54" i="19" s="1"/>
  <c r="F48" i="19" a="1"/>
  <c r="F48" i="19" s="1"/>
  <c r="E48" i="19" s="1"/>
  <c r="F41" i="19" a="1"/>
  <c r="F41" i="19" s="1"/>
  <c r="E41" i="19" s="1"/>
  <c r="F35" i="19" a="1"/>
  <c r="F35" i="19" s="1"/>
  <c r="E35" i="19" s="1"/>
  <c r="F29" i="19" a="1"/>
  <c r="F29" i="19" s="1"/>
  <c r="E29" i="19" s="1"/>
  <c r="F24" i="19" a="1"/>
  <c r="F24" i="19" s="1"/>
  <c r="E24" i="19" s="1"/>
  <c r="C57" i="19" a="1"/>
  <c r="C57" i="19" s="1"/>
  <c r="C51" i="19" a="1"/>
  <c r="C51" i="19" s="1"/>
  <c r="C38" i="19" a="1"/>
  <c r="C38" i="19" s="1"/>
  <c r="C32" i="19" a="1"/>
  <c r="C32" i="19" s="1"/>
  <c r="C25" i="19" a="1"/>
  <c r="C25" i="19" s="1"/>
  <c r="D58" i="19" a="1"/>
  <c r="D58" i="19" s="1"/>
  <c r="D52" i="19" a="1"/>
  <c r="D52" i="19" s="1"/>
  <c r="D45" i="19" a="1"/>
  <c r="D45" i="19" s="1"/>
  <c r="D39" i="19" a="1"/>
  <c r="D39" i="19" s="1"/>
  <c r="D26" i="19" a="1"/>
  <c r="D26" i="19" s="1"/>
  <c r="F59" i="19" a="1"/>
  <c r="F59" i="19" s="1"/>
  <c r="E59" i="19" s="1"/>
  <c r="F46" i="19" a="1"/>
  <c r="F46" i="19" s="1"/>
  <c r="E46" i="19" s="1"/>
  <c r="F40" i="19" a="1"/>
  <c r="F40" i="19" s="1"/>
  <c r="E40" i="19" s="1"/>
  <c r="F33" i="19" a="1"/>
  <c r="F33" i="19" s="1"/>
  <c r="E33" i="19" s="1"/>
  <c r="F28" i="19" a="1"/>
  <c r="F28" i="19" s="1"/>
  <c r="E28" i="19" s="1"/>
  <c r="C58" i="19" a="1"/>
  <c r="C58" i="19" s="1"/>
  <c r="C52" i="19" a="1"/>
  <c r="C52" i="19" s="1"/>
  <c r="C45" i="19" a="1"/>
  <c r="C45" i="19" s="1"/>
  <c r="C39" i="19" a="1"/>
  <c r="C39" i="19" s="1"/>
  <c r="C26" i="19" a="1"/>
  <c r="C26" i="19" s="1"/>
  <c r="D59" i="19" a="1"/>
  <c r="D59" i="19" s="1"/>
  <c r="D46" i="19" a="1"/>
  <c r="D46" i="19" s="1"/>
  <c r="D40" i="19" a="1"/>
  <c r="D40" i="19" s="1"/>
  <c r="D33" i="19" a="1"/>
  <c r="D33" i="19" s="1"/>
  <c r="D27" i="19" a="1"/>
  <c r="D27" i="19" s="1"/>
  <c r="F20" i="19" a="1"/>
  <c r="F20" i="19" s="1"/>
  <c r="E20" i="19" s="1"/>
  <c r="F53" i="19" a="1"/>
  <c r="F53" i="19" s="1"/>
  <c r="E53" i="19" s="1"/>
  <c r="F47" i="19" a="1"/>
  <c r="F47" i="19" s="1"/>
  <c r="E47" i="19" s="1"/>
  <c r="F34" i="19" a="1"/>
  <c r="F34" i="19" s="1"/>
  <c r="E34" i="19" s="1"/>
  <c r="F23" i="19" a="1"/>
  <c r="F23" i="19" s="1"/>
  <c r="E23" i="19" s="1"/>
  <c r="C50" i="19" a="1"/>
  <c r="C50" i="19" s="1"/>
  <c r="C44" i="19" a="1"/>
  <c r="C44" i="19" s="1"/>
  <c r="C37" i="19" a="1"/>
  <c r="C37" i="19" s="1"/>
  <c r="C31" i="19" a="1"/>
  <c r="C31" i="19" s="1"/>
  <c r="D57" i="19" a="1"/>
  <c r="D57" i="19" s="1"/>
  <c r="D51" i="19" a="1"/>
  <c r="D51" i="19" s="1"/>
  <c r="D38" i="19" a="1"/>
  <c r="D38" i="19" s="1"/>
  <c r="D32" i="19" a="1"/>
  <c r="D32" i="19" s="1"/>
  <c r="D25" i="19" a="1"/>
  <c r="D25" i="19" s="1"/>
  <c r="F58" i="19" a="1"/>
  <c r="F58" i="19" s="1"/>
  <c r="E58" i="19" s="1"/>
  <c r="F52" i="19" a="1"/>
  <c r="F52" i="19" s="1"/>
  <c r="E52" i="19" s="1"/>
  <c r="F45" i="19" a="1"/>
  <c r="F45" i="19" s="1"/>
  <c r="E45" i="19" s="1"/>
  <c r="F39" i="19" a="1"/>
  <c r="F39" i="19" s="1"/>
  <c r="E39" i="19" s="1"/>
  <c r="F27" i="19" a="1"/>
  <c r="F27" i="19" s="1"/>
  <c r="E27" i="19" s="1"/>
  <c r="F22" i="19" a="1"/>
  <c r="F22" i="19" s="1"/>
  <c r="E22" i="19" s="1"/>
  <c r="C56" i="19" a="1"/>
  <c r="C56" i="19" s="1"/>
  <c r="C49" i="19" a="1"/>
  <c r="C49" i="19" s="1"/>
  <c r="C43" i="19" a="1"/>
  <c r="C43" i="19" s="1"/>
  <c r="C30" i="19" a="1"/>
  <c r="C30" i="19" s="1"/>
  <c r="C24" i="19" a="1"/>
  <c r="C24" i="19" s="1"/>
  <c r="D50" i="19" a="1"/>
  <c r="D50" i="19" s="1"/>
  <c r="D44" i="19" a="1"/>
  <c r="D44" i="19" s="1"/>
  <c r="D37" i="19" a="1"/>
  <c r="D37" i="19" s="1"/>
  <c r="D31" i="19" a="1"/>
  <c r="D31" i="19" s="1"/>
  <c r="F57" i="19" a="1"/>
  <c r="F57" i="19" s="1"/>
  <c r="E57" i="19" s="1"/>
  <c r="F51" i="19" a="1"/>
  <c r="F51" i="19" s="1"/>
  <c r="E51" i="19" s="1"/>
  <c r="F38" i="19" a="1"/>
  <c r="F38" i="19" s="1"/>
  <c r="E38" i="19" s="1"/>
  <c r="F32" i="19" a="1"/>
  <c r="F32" i="19" s="1"/>
  <c r="E32" i="19" s="1"/>
  <c r="F21" i="19" a="1"/>
  <c r="F21" i="19" s="1"/>
  <c r="E21" i="19" s="1"/>
  <c r="C55" i="19" a="1"/>
  <c r="C55" i="19" s="1"/>
  <c r="C42" i="19" a="1"/>
  <c r="C42" i="19" s="1"/>
  <c r="C36" i="19" a="1"/>
  <c r="C36" i="19" s="1"/>
  <c r="C29" i="19" a="1"/>
  <c r="C29" i="19" s="1"/>
  <c r="C23" i="19" a="1"/>
  <c r="C23" i="19" s="1"/>
  <c r="D56" i="19" a="1"/>
  <c r="D56" i="19" s="1"/>
  <c r="D49" i="19" a="1"/>
  <c r="D49" i="19" s="1"/>
  <c r="D43" i="19" a="1"/>
  <c r="D43" i="19" s="1"/>
  <c r="D30" i="19" a="1"/>
  <c r="D30" i="19" s="1"/>
  <c r="D24" i="19" a="1"/>
  <c r="D24" i="19" s="1"/>
  <c r="F50" i="19" a="1"/>
  <c r="F50" i="19" s="1"/>
  <c r="E50" i="19" s="1"/>
  <c r="F44" i="19" a="1"/>
  <c r="F44" i="19" s="1"/>
  <c r="E44" i="19" s="1"/>
  <c r="F37" i="19" a="1"/>
  <c r="F37" i="19" s="1"/>
  <c r="E37" i="19" s="1"/>
  <c r="F31" i="19" a="1"/>
  <c r="F31" i="19" s="1"/>
  <c r="E31" i="19" s="1"/>
  <c r="F26" i="19" a="1"/>
  <c r="F26" i="19" s="1"/>
  <c r="E26" i="19" s="1"/>
  <c r="C54" i="19" a="1"/>
  <c r="C54" i="19" s="1"/>
  <c r="C48" i="19" a="1"/>
  <c r="C48" i="19" s="1"/>
  <c r="C41" i="19" a="1"/>
  <c r="C41" i="19" s="1"/>
  <c r="C35" i="19" a="1"/>
  <c r="C35" i="19" s="1"/>
  <c r="C22" i="19" a="1"/>
  <c r="C22" i="19" s="1"/>
  <c r="D55" i="19" a="1"/>
  <c r="D55" i="19" s="1"/>
  <c r="D42" i="19" a="1"/>
  <c r="D42" i="19" s="1"/>
  <c r="D36" i="19" a="1"/>
  <c r="D36" i="19" s="1"/>
  <c r="D29" i="19" a="1"/>
  <c r="D29" i="19" s="1"/>
  <c r="D23" i="19" a="1"/>
  <c r="D23" i="19" s="1"/>
  <c r="F56" i="19" a="1"/>
  <c r="F56" i="19" s="1"/>
  <c r="E56" i="19" s="1"/>
  <c r="F49" i="19" a="1"/>
  <c r="F49" i="19" s="1"/>
  <c r="E49" i="19" s="1"/>
  <c r="F43" i="19" a="1"/>
  <c r="F43" i="19" s="1"/>
  <c r="E43" i="19" s="1"/>
  <c r="F25" i="19" a="1"/>
  <c r="F25" i="19" s="1"/>
  <c r="E25" i="19" s="1"/>
  <c r="C20" i="19" a="1"/>
  <c r="C20" i="19" s="1"/>
  <c r="C53" i="19" a="1"/>
  <c r="C53" i="19" s="1"/>
  <c r="C47" i="19" a="1"/>
  <c r="C47" i="19" s="1"/>
  <c r="C34" i="19" a="1"/>
  <c r="C34" i="19" s="1"/>
  <c r="C28" i="19" a="1"/>
  <c r="C28" i="19" s="1"/>
  <c r="C21" i="19" a="1"/>
  <c r="C21" i="19" s="1"/>
  <c r="D54" i="19" a="1"/>
  <c r="D54" i="19" s="1"/>
  <c r="D48" i="19" a="1"/>
  <c r="D48" i="19" s="1"/>
  <c r="D41" i="19" a="1"/>
  <c r="D41" i="19" s="1"/>
  <c r="D35" i="19" a="1"/>
  <c r="D35" i="19" s="1"/>
  <c r="D22" i="19" a="1"/>
  <c r="D22" i="19" s="1"/>
  <c r="F55" i="19" a="1"/>
  <c r="F55" i="19" s="1"/>
  <c r="E55" i="19" s="1"/>
  <c r="F42" i="19" a="1"/>
  <c r="F42" i="19" s="1"/>
  <c r="E42" i="19" s="1"/>
  <c r="F36" i="19" a="1"/>
  <c r="F36" i="19" s="1"/>
  <c r="E36" i="19" s="1"/>
  <c r="F21" i="22" a="1"/>
  <c r="F21" i="22" s="1"/>
  <c r="D39" i="22" a="1"/>
  <c r="D39" i="22" s="1"/>
  <c r="F27" i="22" a="1"/>
  <c r="F27" i="22" s="1"/>
  <c r="C43" i="22" a="1"/>
  <c r="C43" i="22" s="1"/>
  <c r="C22" i="22" a="1"/>
  <c r="C22" i="22" s="1"/>
  <c r="D24" i="22" a="1"/>
  <c r="D24" i="22" s="1"/>
  <c r="E26" i="22" a="1"/>
  <c r="E26" i="22" s="1"/>
  <c r="C35" i="22" a="1"/>
  <c r="C35" i="22" s="1"/>
  <c r="C21" i="22" a="1"/>
  <c r="C21" i="22" s="1"/>
  <c r="D31" i="22" a="1"/>
  <c r="D31" i="22" s="1"/>
  <c r="E31" i="22" a="1"/>
  <c r="E31" i="22" s="1"/>
  <c r="F39" i="22" a="1"/>
  <c r="F39" i="22" s="1"/>
  <c r="F26" i="22" a="1"/>
  <c r="F26" i="22" s="1"/>
  <c r="C41" i="22" a="1"/>
  <c r="C41" i="22" s="1"/>
  <c r="C34" i="22" a="1"/>
  <c r="C34" i="22" s="1"/>
  <c r="C27" i="22" a="1"/>
  <c r="C27" i="22" s="1"/>
  <c r="D44" i="22" a="1"/>
  <c r="D44" i="22" s="1"/>
  <c r="D37" i="22" a="1"/>
  <c r="D37" i="22" s="1"/>
  <c r="D30" i="22" a="1"/>
  <c r="D30" i="22" s="1"/>
  <c r="D22" i="22" a="1"/>
  <c r="D22" i="22" s="1"/>
  <c r="E41" i="22" a="1"/>
  <c r="E41" i="22" s="1"/>
  <c r="E36" i="22" a="1"/>
  <c r="E36" i="22" s="1"/>
  <c r="E30" i="22" a="1"/>
  <c r="E30" i="22" s="1"/>
  <c r="E25" i="22" a="1"/>
  <c r="E25" i="22" s="1"/>
  <c r="F20" i="22" a="1"/>
  <c r="F20" i="22" s="1"/>
  <c r="F38" i="22" a="1"/>
  <c r="F38" i="22" s="1"/>
  <c r="F32" i="22" a="1"/>
  <c r="F32" i="22" s="1"/>
  <c r="F25" i="22" a="1"/>
  <c r="F25" i="22" s="1"/>
  <c r="D32" i="22" a="1"/>
  <c r="D32" i="22" s="1"/>
  <c r="E37" i="22" a="1"/>
  <c r="E37" i="22" s="1"/>
  <c r="F40" i="22" a="1"/>
  <c r="F40" i="22" s="1"/>
  <c r="C42" i="22" a="1"/>
  <c r="C42" i="22" s="1"/>
  <c r="C28" i="22" a="1"/>
  <c r="C28" i="22" s="1"/>
  <c r="D38" i="22" a="1"/>
  <c r="D38" i="22" s="1"/>
  <c r="D23" i="22" a="1"/>
  <c r="D23" i="22" s="1"/>
  <c r="E20" i="22" a="1"/>
  <c r="E20" i="22" s="1"/>
  <c r="C33" i="22" a="1"/>
  <c r="C33" i="22" s="1"/>
  <c r="C26" i="22" a="1"/>
  <c r="C26" i="22" s="1"/>
  <c r="D43" i="22" a="1"/>
  <c r="D43" i="22" s="1"/>
  <c r="D36" i="22" a="1"/>
  <c r="D36" i="22" s="1"/>
  <c r="D29" i="22" a="1"/>
  <c r="D29" i="22" s="1"/>
  <c r="D21" i="22" a="1"/>
  <c r="D21" i="22" s="1"/>
  <c r="E35" i="22" a="1"/>
  <c r="E35" i="22" s="1"/>
  <c r="F44" i="22" a="1"/>
  <c r="F44" i="22" s="1"/>
  <c r="F37" i="22" a="1"/>
  <c r="F37" i="22" s="1"/>
  <c r="F31" i="22" a="1"/>
  <c r="F31" i="22" s="1"/>
  <c r="C25" i="22" a="1"/>
  <c r="C25" i="22" s="1"/>
  <c r="D28" i="22" a="1"/>
  <c r="D28" i="22" s="1"/>
  <c r="F24" i="22" a="1"/>
  <c r="F24" i="22" s="1"/>
  <c r="D20" i="22" a="1"/>
  <c r="D20" i="22" s="1"/>
  <c r="C39" i="22" a="1"/>
  <c r="C39" i="22" s="1"/>
  <c r="C31" i="22" a="1"/>
  <c r="C31" i="22" s="1"/>
  <c r="D41" i="22" a="1"/>
  <c r="D41" i="22" s="1"/>
  <c r="D34" i="22" a="1"/>
  <c r="D34" i="22" s="1"/>
  <c r="D27" i="22" a="1"/>
  <c r="D27" i="22" s="1"/>
  <c r="E39" i="22" a="1"/>
  <c r="E39" i="22" s="1"/>
  <c r="E23" i="22" a="1"/>
  <c r="E23" i="22" s="1"/>
  <c r="F42" i="22" a="1"/>
  <c r="F42" i="22" s="1"/>
  <c r="F36" i="22" a="1"/>
  <c r="F36" i="22" s="1"/>
  <c r="F29" i="22" a="1"/>
  <c r="F29" i="22" s="1"/>
  <c r="F23" i="22" a="1"/>
  <c r="F23" i="22" s="1"/>
  <c r="C32" i="22" a="1"/>
  <c r="C32" i="22" s="1"/>
  <c r="D35" i="22" a="1"/>
  <c r="D35" i="22" s="1"/>
  <c r="E34" i="22" a="1"/>
  <c r="E34" i="22" s="1"/>
  <c r="E24" i="22" a="1"/>
  <c r="E24" i="22" s="1"/>
  <c r="F30" i="22" a="1"/>
  <c r="F30" i="22" s="1"/>
  <c r="C20" i="22" a="1"/>
  <c r="C20" i="22" s="1"/>
  <c r="C38" i="22" a="1"/>
  <c r="C38" i="22" s="1"/>
  <c r="C30" i="22" a="1"/>
  <c r="C30" i="22" s="1"/>
  <c r="C24" i="22" a="1"/>
  <c r="C24" i="22" s="1"/>
  <c r="D33" i="22" a="1"/>
  <c r="D33" i="22" s="1"/>
  <c r="D26" i="22" a="1"/>
  <c r="D26" i="22" s="1"/>
  <c r="E44" i="22" a="1"/>
  <c r="E44" i="22" s="1"/>
  <c r="E38" i="22" a="1"/>
  <c r="E38" i="22" s="1"/>
  <c r="E33" i="22" a="1"/>
  <c r="E33" i="22" s="1"/>
  <c r="E28" i="22" a="1"/>
  <c r="E28" i="22" s="1"/>
  <c r="E22" i="22" a="1"/>
  <c r="E22" i="22" s="1"/>
  <c r="F41" i="22" a="1"/>
  <c r="F41" i="22" s="1"/>
  <c r="F35" i="22" a="1"/>
  <c r="F35" i="22" s="1"/>
  <c r="C40" i="22" a="1"/>
  <c r="C40" i="22" s="1"/>
  <c r="D42" i="22" a="1"/>
  <c r="D42" i="22" s="1"/>
  <c r="E40" i="22" a="1"/>
  <c r="E40" i="22" s="1"/>
  <c r="E29" i="22" a="1"/>
  <c r="E29" i="22" s="1"/>
  <c r="F43" i="22" a="1"/>
  <c r="F43" i="22" s="1"/>
  <c r="C44" i="22" a="1"/>
  <c r="C44" i="22" s="1"/>
  <c r="C37" i="22" a="1"/>
  <c r="C37" i="22" s="1"/>
  <c r="C29" i="22" a="1"/>
  <c r="C29" i="22" s="1"/>
  <c r="C23" i="22" a="1"/>
  <c r="C23" i="22" s="1"/>
  <c r="D40" i="22" a="1"/>
  <c r="D40" i="22" s="1"/>
  <c r="D25" i="22" a="1"/>
  <c r="D25" i="22" s="1"/>
  <c r="E43" i="22" a="1"/>
  <c r="E43" i="22" s="1"/>
  <c r="E27" i="22" a="1"/>
  <c r="E27" i="22" s="1"/>
  <c r="F34" i="22" a="1"/>
  <c r="F34" i="22" s="1"/>
  <c r="F28" i="22" a="1"/>
  <c r="F28" i="22" s="1"/>
  <c r="F22" i="22" a="1"/>
  <c r="F22" i="22" s="1"/>
  <c r="C36" i="22" a="1"/>
  <c r="C36" i="22" s="1"/>
  <c r="E42" i="22" a="1"/>
  <c r="E42" i="22" s="1"/>
  <c r="E32" i="22" a="1"/>
  <c r="E32" i="22" s="1"/>
  <c r="E21" i="22" a="1"/>
  <c r="E21" i="22" s="1"/>
  <c r="F33" i="22" a="1"/>
  <c r="F33" i="22" s="1"/>
  <c r="C44" i="21" a="1"/>
  <c r="C44" i="21" s="1"/>
  <c r="E30" i="21" a="1"/>
  <c r="E30" i="21" s="1"/>
  <c r="E44" i="21" a="1"/>
  <c r="E44" i="21" s="1"/>
  <c r="C42" i="21" a="1"/>
  <c r="C42" i="21" s="1"/>
  <c r="D42" i="21" a="1"/>
  <c r="D42" i="21" s="1"/>
  <c r="D44" i="21" a="1"/>
  <c r="D44" i="21" s="1"/>
  <c r="E43" i="21" a="1"/>
  <c r="E43" i="21" s="1"/>
  <c r="D43" i="21" a="1"/>
  <c r="D43" i="21" s="1"/>
  <c r="C43" i="21" a="1"/>
  <c r="C43" i="21" s="1"/>
  <c r="E42" i="21" a="1"/>
  <c r="E42" i="21" s="1"/>
  <c r="C35" i="21" a="1"/>
  <c r="C35" i="21" s="1"/>
  <c r="D36" i="21" a="1"/>
  <c r="D36" i="21" s="1"/>
  <c r="D28" i="21" a="1"/>
  <c r="D28" i="21" s="1"/>
  <c r="E37" i="21" a="1"/>
  <c r="E37" i="21" s="1"/>
  <c r="C41" i="21" a="1"/>
  <c r="C41" i="21" s="1"/>
  <c r="C34" i="21" a="1"/>
  <c r="C34" i="21" s="1"/>
  <c r="C28" i="21" a="1"/>
  <c r="C28" i="21" s="1"/>
  <c r="C21" i="21" a="1"/>
  <c r="C21" i="21" s="1"/>
  <c r="D35" i="21" a="1"/>
  <c r="D35" i="21" s="1"/>
  <c r="D27" i="21" a="1"/>
  <c r="D27" i="21" s="1"/>
  <c r="E20" i="21" a="1"/>
  <c r="E20" i="21" s="1"/>
  <c r="E36" i="21" a="1"/>
  <c r="E36" i="21" s="1"/>
  <c r="E28" i="21" a="1"/>
  <c r="E28" i="21" s="1"/>
  <c r="C22" i="21" a="1"/>
  <c r="C22" i="21" s="1"/>
  <c r="D20" i="21" a="1"/>
  <c r="D20" i="21" s="1"/>
  <c r="E29" i="21" a="1"/>
  <c r="E29" i="21" s="1"/>
  <c r="C40" i="21" a="1"/>
  <c r="C40" i="21" s="1"/>
  <c r="C33" i="21" a="1"/>
  <c r="C33" i="21" s="1"/>
  <c r="C27" i="21" a="1"/>
  <c r="C27" i="21" s="1"/>
  <c r="C20" i="21" a="1"/>
  <c r="C20" i="21" s="1"/>
  <c r="D34" i="21" a="1"/>
  <c r="D34" i="21" s="1"/>
  <c r="D26" i="21" a="1"/>
  <c r="D26" i="21" s="1"/>
  <c r="E22" i="21" a="1"/>
  <c r="E22" i="21" s="1"/>
  <c r="E35" i="21" a="1"/>
  <c r="E35" i="21" s="1"/>
  <c r="E27" i="21" a="1"/>
  <c r="E27" i="21" s="1"/>
  <c r="C39" i="21" a="1"/>
  <c r="C39" i="21" s="1"/>
  <c r="D25" i="21" a="1"/>
  <c r="D25" i="21" s="1"/>
  <c r="E34" i="21" a="1"/>
  <c r="E34" i="21" s="1"/>
  <c r="C38" i="21" a="1"/>
  <c r="C38" i="21" s="1"/>
  <c r="C32" i="21" a="1"/>
  <c r="C32" i="21" s="1"/>
  <c r="C25" i="21" a="1"/>
  <c r="C25" i="21" s="1"/>
  <c r="D40" i="21" a="1"/>
  <c r="D40" i="21" s="1"/>
  <c r="D32" i="21" a="1"/>
  <c r="D32" i="21" s="1"/>
  <c r="D24" i="21" a="1"/>
  <c r="D24" i="21" s="1"/>
  <c r="E41" i="21" a="1"/>
  <c r="E41" i="21" s="1"/>
  <c r="E33" i="21" a="1"/>
  <c r="E33" i="21" s="1"/>
  <c r="E25" i="21" a="1"/>
  <c r="E25" i="21" s="1"/>
  <c r="C26" i="21" a="1"/>
  <c r="C26" i="21" s="1"/>
  <c r="D33" i="21" a="1"/>
  <c r="D33" i="21" s="1"/>
  <c r="E21" i="21" a="1"/>
  <c r="E21" i="21" s="1"/>
  <c r="C37" i="21" a="1"/>
  <c r="C37" i="21" s="1"/>
  <c r="C31" i="21" a="1"/>
  <c r="C31" i="21" s="1"/>
  <c r="D39" i="21" a="1"/>
  <c r="D39" i="21" s="1"/>
  <c r="D31" i="21" a="1"/>
  <c r="D31" i="21" s="1"/>
  <c r="D23" i="21" a="1"/>
  <c r="D23" i="21" s="1"/>
  <c r="E40" i="21" a="1"/>
  <c r="E40" i="21" s="1"/>
  <c r="E32" i="21" a="1"/>
  <c r="E32" i="21" s="1"/>
  <c r="E24" i="21" a="1"/>
  <c r="E24" i="21" s="1"/>
  <c r="C30" i="21" a="1"/>
  <c r="C30" i="21" s="1"/>
  <c r="C24" i="21" a="1"/>
  <c r="C24" i="21" s="1"/>
  <c r="D38" i="21" a="1"/>
  <c r="D38" i="21" s="1"/>
  <c r="D30" i="21" a="1"/>
  <c r="D30" i="21" s="1"/>
  <c r="D22" i="21" a="1"/>
  <c r="D22" i="21" s="1"/>
  <c r="E39" i="21" a="1"/>
  <c r="E39" i="21" s="1"/>
  <c r="E31" i="21" a="1"/>
  <c r="E31" i="21" s="1"/>
  <c r="E23" i="21" a="1"/>
  <c r="E23" i="21" s="1"/>
  <c r="D41" i="21" a="1"/>
  <c r="D41" i="21" s="1"/>
  <c r="E26" i="21" a="1"/>
  <c r="E26" i="21" s="1"/>
  <c r="C36" i="21" a="1"/>
  <c r="C36" i="21" s="1"/>
  <c r="C29" i="21" a="1"/>
  <c r="C29" i="21" s="1"/>
  <c r="C23" i="21" a="1"/>
  <c r="C23" i="21" s="1"/>
  <c r="D37" i="21" a="1"/>
  <c r="D37" i="21" s="1"/>
  <c r="D29" i="21" a="1"/>
  <c r="D29" i="21" s="1"/>
  <c r="D21" i="21" a="1"/>
  <c r="D21" i="21" s="1"/>
  <c r="E38" i="21" a="1"/>
  <c r="E38" i="21" s="1"/>
  <c r="H8" i="17" a="1"/>
  <c r="H8" i="17" s="1"/>
  <c r="M26" i="12" l="1"/>
  <c r="N26" i="12" s="1"/>
  <c r="M22" i="12"/>
  <c r="N22" i="12" s="1"/>
  <c r="M23" i="12"/>
  <c r="N23" i="12" s="1"/>
  <c r="M24" i="12"/>
  <c r="N24" i="12" s="1"/>
  <c r="M25" i="12"/>
  <c r="N25" i="12" s="1"/>
  <c r="M21" i="12"/>
  <c r="N21" i="12" s="1"/>
  <c r="M3" i="12"/>
  <c r="N3" i="12" s="1"/>
  <c r="M4" i="12"/>
  <c r="N4" i="12" s="1"/>
  <c r="M5" i="12"/>
  <c r="N5" i="12" s="1"/>
  <c r="M6" i="12"/>
  <c r="N6" i="12" s="1"/>
  <c r="M7" i="12"/>
  <c r="N7" i="12" s="1"/>
  <c r="M8" i="12"/>
  <c r="N8" i="12" s="1"/>
  <c r="M9" i="12"/>
  <c r="N9" i="12" s="1"/>
  <c r="M10" i="12"/>
  <c r="N10" i="12" s="1"/>
  <c r="M11" i="12"/>
  <c r="N11" i="12" s="1"/>
  <c r="M12" i="12"/>
  <c r="N12" i="12" s="1"/>
  <c r="M13" i="12"/>
  <c r="N13" i="12" s="1"/>
  <c r="M14" i="12"/>
  <c r="N14" i="12" s="1"/>
  <c r="M15" i="12"/>
  <c r="N15" i="12" s="1"/>
  <c r="M16" i="12"/>
  <c r="N16" i="12" s="1"/>
  <c r="M17" i="12"/>
  <c r="N17" i="12" s="1"/>
  <c r="M18" i="12"/>
  <c r="N18" i="12" s="1"/>
  <c r="M19" i="12"/>
  <c r="N19" i="12" s="1"/>
  <c r="M20" i="12"/>
  <c r="N20" i="12" s="1"/>
  <c r="M2" i="12"/>
  <c r="N2" i="12" s="1"/>
  <c r="G3" i="14"/>
  <c r="H3" i="14" s="1"/>
  <c r="H12" i="8" s="1"/>
  <c r="G4" i="14"/>
  <c r="H4" i="14" s="1"/>
  <c r="H14" i="8" s="1"/>
  <c r="G5" i="14"/>
  <c r="H5" i="14" s="1"/>
  <c r="H16" i="8" s="1"/>
  <c r="G6" i="14"/>
  <c r="H6" i="14" s="1"/>
  <c r="H18" i="8" s="1"/>
  <c r="G7" i="14"/>
  <c r="H7" i="14" s="1"/>
  <c r="H20" i="8" s="1"/>
  <c r="G8" i="14"/>
  <c r="H8" i="14" s="1"/>
  <c r="H22" i="8" s="1"/>
  <c r="G9" i="14"/>
  <c r="H9" i="14" s="1"/>
  <c r="H24" i="8" s="1"/>
  <c r="G2" i="14"/>
  <c r="H2" i="14" s="1"/>
  <c r="H10" i="8" s="1"/>
  <c r="Q3" i="14" l="1"/>
  <c r="Q4" i="14"/>
  <c r="Q5" i="14"/>
  <c r="Q6" i="14"/>
  <c r="Q7" i="14"/>
  <c r="Q8" i="14"/>
  <c r="Q9" i="14"/>
  <c r="Q2" i="14"/>
  <c r="J3" i="14"/>
  <c r="R22" i="12"/>
  <c r="R23" i="12"/>
  <c r="R21" i="12"/>
  <c r="R3" i="12"/>
  <c r="R4" i="12"/>
  <c r="R5" i="12"/>
  <c r="R6" i="12"/>
  <c r="R7" i="12"/>
  <c r="R8" i="12"/>
  <c r="R9" i="12"/>
  <c r="R10" i="12"/>
  <c r="R11" i="12"/>
  <c r="R12" i="12"/>
  <c r="R13" i="12"/>
  <c r="R14" i="12"/>
  <c r="R15" i="12"/>
  <c r="R16" i="12"/>
  <c r="R17" i="12"/>
  <c r="R18" i="12"/>
  <c r="R19" i="12"/>
  <c r="R20" i="12"/>
  <c r="R2" i="12"/>
  <c r="O26" i="12"/>
  <c r="O21" i="12"/>
  <c r="O2" i="12"/>
  <c r="J4" i="14" l="1"/>
  <c r="J5" i="14"/>
  <c r="J6" i="14"/>
  <c r="J7" i="14"/>
  <c r="J8" i="14"/>
  <c r="J9" i="14"/>
  <c r="D25" i="8" s="1"/>
  <c r="J2" i="14"/>
  <c r="K26" i="12"/>
  <c r="K22" i="12"/>
  <c r="K23" i="12"/>
  <c r="K24" i="12"/>
  <c r="K25" i="12"/>
  <c r="K21" i="12"/>
  <c r="P26" i="12"/>
  <c r="Q26" i="12"/>
  <c r="O22" i="12"/>
  <c r="P22" i="12"/>
  <c r="Q22" i="12"/>
  <c r="O23" i="12"/>
  <c r="P23" i="12"/>
  <c r="Q23" i="12"/>
  <c r="O24" i="12"/>
  <c r="P24" i="12"/>
  <c r="Q24" i="12"/>
  <c r="O25" i="12"/>
  <c r="P25" i="12"/>
  <c r="Q25" i="12"/>
  <c r="P21" i="12"/>
  <c r="Q21" i="12"/>
  <c r="K3" i="12"/>
  <c r="K4" i="12"/>
  <c r="K5" i="12"/>
  <c r="K6" i="12"/>
  <c r="K7" i="12"/>
  <c r="K8" i="12"/>
  <c r="K9" i="12"/>
  <c r="K10" i="12"/>
  <c r="K11" i="12"/>
  <c r="K12" i="12"/>
  <c r="K13" i="12"/>
  <c r="K14" i="12"/>
  <c r="K15" i="12"/>
  <c r="K16" i="12"/>
  <c r="K17" i="12"/>
  <c r="K18" i="12"/>
  <c r="K19" i="12"/>
  <c r="K20" i="12"/>
  <c r="K2" i="12"/>
  <c r="O3" i="12"/>
  <c r="P3" i="12"/>
  <c r="Q3" i="12"/>
  <c r="O4" i="12"/>
  <c r="P4" i="12"/>
  <c r="Q4" i="12"/>
  <c r="O5" i="12"/>
  <c r="P5" i="12"/>
  <c r="Q5" i="12"/>
  <c r="O6" i="12"/>
  <c r="P6" i="12"/>
  <c r="Q6" i="12"/>
  <c r="O7" i="12"/>
  <c r="P7" i="12"/>
  <c r="Q7" i="12"/>
  <c r="O8" i="12"/>
  <c r="P8" i="12"/>
  <c r="Q8" i="12"/>
  <c r="O9" i="12"/>
  <c r="P9" i="12"/>
  <c r="Q9" i="12"/>
  <c r="O10" i="12"/>
  <c r="P10" i="12"/>
  <c r="Q10" i="12"/>
  <c r="O11" i="12"/>
  <c r="P11" i="12"/>
  <c r="Q11" i="12"/>
  <c r="O12" i="12"/>
  <c r="P12" i="12"/>
  <c r="Q12" i="12"/>
  <c r="O13" i="12"/>
  <c r="P13" i="12"/>
  <c r="Q13" i="12"/>
  <c r="O14" i="12"/>
  <c r="P14" i="12"/>
  <c r="Q14" i="12"/>
  <c r="O15" i="12"/>
  <c r="P15" i="12"/>
  <c r="Q15" i="12"/>
  <c r="O16" i="12"/>
  <c r="P16" i="12"/>
  <c r="Q16" i="12"/>
  <c r="O17" i="12"/>
  <c r="P17" i="12"/>
  <c r="Q17" i="12"/>
  <c r="O18" i="12"/>
  <c r="P18" i="12"/>
  <c r="Q18" i="12"/>
  <c r="O19" i="12"/>
  <c r="P19" i="12"/>
  <c r="Q19" i="12"/>
  <c r="O20" i="12"/>
  <c r="P20" i="12"/>
  <c r="Q20" i="12"/>
  <c r="P2" i="12"/>
  <c r="Q2" i="12"/>
  <c r="M3" i="14" l="1"/>
  <c r="M6" i="14"/>
  <c r="K3" i="14"/>
  <c r="M5" i="14"/>
  <c r="M2" i="14"/>
  <c r="L6" i="14"/>
  <c r="K2" i="14"/>
  <c r="K6" i="14"/>
  <c r="L2" i="14"/>
  <c r="M7" i="14"/>
  <c r="K9" i="14"/>
  <c r="M4" i="14"/>
  <c r="L7" i="14"/>
  <c r="K8" i="14"/>
  <c r="L4" i="14"/>
  <c r="L3" i="14"/>
  <c r="M8" i="14"/>
  <c r="K7" i="14"/>
  <c r="M9" i="14"/>
  <c r="L5" i="14"/>
  <c r="L9" i="14"/>
  <c r="K4" i="14"/>
  <c r="L8" i="14"/>
  <c r="K5" i="14"/>
  <c r="L26" i="12"/>
  <c r="L25" i="12"/>
  <c r="L24" i="12"/>
  <c r="L23" i="12"/>
  <c r="L22" i="12"/>
  <c r="L21" i="12"/>
  <c r="L20" i="12"/>
  <c r="L19" i="12"/>
  <c r="L18" i="12"/>
  <c r="L17" i="12"/>
  <c r="L16" i="12"/>
  <c r="L15" i="12"/>
  <c r="L14" i="12"/>
  <c r="L13" i="12"/>
  <c r="L12" i="12"/>
  <c r="L11" i="12"/>
  <c r="L10" i="12"/>
  <c r="L9" i="12"/>
  <c r="L8" i="12"/>
  <c r="L7" i="12"/>
  <c r="L6" i="12"/>
  <c r="L5" i="12"/>
  <c r="L4" i="12"/>
  <c r="L3" i="12"/>
  <c r="L2" i="12"/>
  <c r="E12" i="17" l="1"/>
  <c r="N5" i="14"/>
  <c r="F10" i="17"/>
  <c r="O3" i="14"/>
  <c r="E13" i="17"/>
  <c r="N6" i="14"/>
  <c r="F15" i="17"/>
  <c r="O8" i="14"/>
  <c r="F11" i="17"/>
  <c r="O4" i="14"/>
  <c r="E9" i="17"/>
  <c r="N2" i="14"/>
  <c r="E11" i="17"/>
  <c r="N4" i="14"/>
  <c r="E15" i="17"/>
  <c r="N8" i="14"/>
  <c r="F13" i="17"/>
  <c r="O6" i="14"/>
  <c r="F16" i="17"/>
  <c r="O9" i="14"/>
  <c r="O7" i="14"/>
  <c r="G9" i="17"/>
  <c r="P2" i="14"/>
  <c r="F12" i="17"/>
  <c r="O5" i="14"/>
  <c r="G11" i="17"/>
  <c r="P4" i="14"/>
  <c r="G12" i="17"/>
  <c r="P5" i="14"/>
  <c r="G16" i="17"/>
  <c r="P9" i="14"/>
  <c r="E16" i="17"/>
  <c r="N9" i="14"/>
  <c r="E10" i="17"/>
  <c r="N3" i="14"/>
  <c r="F14" i="17"/>
  <c r="N7" i="14"/>
  <c r="E14" i="17"/>
  <c r="G14" i="17"/>
  <c r="P7" i="14"/>
  <c r="P6" i="14"/>
  <c r="G13" i="17"/>
  <c r="P8" i="14"/>
  <c r="G15" i="17"/>
  <c r="F9" i="17"/>
  <c r="O2" i="14"/>
  <c r="G10" i="17"/>
  <c r="P3" i="14"/>
  <c r="D13" i="8"/>
  <c r="D15" i="8"/>
  <c r="D17" i="8"/>
  <c r="D19" i="8"/>
  <c r="D21" i="8"/>
  <c r="H9" i="17" l="1" a="1"/>
  <c r="H9" i="17" s="1"/>
  <c r="C2" i="14" s="1"/>
  <c r="H11" i="17" a="1"/>
  <c r="H11" i="17" s="1"/>
  <c r="C4" i="14" s="1"/>
  <c r="H10" i="17" a="1"/>
  <c r="H10" i="17" s="1"/>
  <c r="C3" i="14" s="1"/>
  <c r="H14" i="17" a="1"/>
  <c r="H14" i="17" s="1"/>
  <c r="C7" i="14" s="1"/>
  <c r="H13" i="17" a="1"/>
  <c r="H13" i="17" s="1"/>
  <c r="C6" i="14" s="1"/>
  <c r="H12" i="17" a="1"/>
  <c r="H12" i="17" s="1"/>
  <c r="C5" i="14" s="1"/>
  <c r="H16" i="17" a="1"/>
  <c r="H16" i="17" s="1"/>
  <c r="C9" i="14" s="1"/>
  <c r="H15" i="17" a="1"/>
  <c r="H15" i="17" s="1"/>
  <c r="C8" i="14" s="1"/>
  <c r="D23" i="8"/>
  <c r="D11" i="8"/>
  <c r="I9" i="17" l="1"/>
  <c r="D2" i="14" s="1"/>
  <c r="I12" i="17"/>
  <c r="D5" i="14" s="1"/>
  <c r="F5" i="14" s="1"/>
  <c r="I13" i="17"/>
  <c r="D6" i="14" s="1"/>
  <c r="F6" i="14" s="1"/>
  <c r="F18" i="8" s="1"/>
  <c r="I16" i="17"/>
  <c r="D9" i="14" s="1"/>
  <c r="F9" i="14" s="1"/>
  <c r="F24" i="8" s="1"/>
  <c r="I15" i="17"/>
  <c r="D8" i="14" s="1"/>
  <c r="F8" i="14" s="1"/>
  <c r="I10" i="17"/>
  <c r="D3" i="14" s="1"/>
  <c r="F3" i="14" s="1"/>
  <c r="F12" i="8" s="1"/>
  <c r="I14" i="17"/>
  <c r="D7" i="14" s="1"/>
  <c r="F7" i="14" s="1"/>
  <c r="I11" i="17"/>
  <c r="D4" i="14" s="1"/>
  <c r="F4" i="14" s="1"/>
  <c r="C4" i="11" a="1"/>
  <c r="I7" i="14" l="1"/>
  <c r="F20" i="8"/>
  <c r="I4" i="14"/>
  <c r="F14" i="8"/>
  <c r="I5" i="14"/>
  <c r="F16" i="8"/>
  <c r="I8" i="14"/>
  <c r="F22" i="8"/>
  <c r="F2" i="14"/>
  <c r="F10" i="8" s="1"/>
  <c r="E2" i="14"/>
  <c r="E8" i="14"/>
  <c r="E5" i="14"/>
  <c r="C4" i="11"/>
  <c r="T27" i="12" s="1"/>
  <c r="E4" i="14"/>
  <c r="I6" i="14"/>
  <c r="E3" i="14"/>
  <c r="I9" i="14"/>
  <c r="E9" i="14"/>
  <c r="I3" i="14"/>
  <c r="E6" i="14"/>
  <c r="E7" i="14"/>
  <c r="T2" i="12" l="1"/>
  <c r="T3" i="12"/>
  <c r="T4" i="12"/>
  <c r="T5" i="12"/>
  <c r="T8" i="12"/>
  <c r="T9" i="12"/>
  <c r="T12" i="12"/>
  <c r="T17" i="12"/>
  <c r="T21" i="12"/>
  <c r="T26" i="12"/>
  <c r="T10" i="12"/>
  <c r="T11" i="12"/>
  <c r="T13" i="12"/>
  <c r="T14" i="12"/>
  <c r="T16" i="12"/>
  <c r="T18" i="12"/>
  <c r="T20" i="12"/>
  <c r="T22" i="12"/>
  <c r="T25" i="12"/>
  <c r="T28" i="12"/>
  <c r="T30" i="12"/>
  <c r="T6" i="12"/>
  <c r="T15" i="12"/>
  <c r="T19" i="12"/>
  <c r="T23" i="12"/>
  <c r="T24" i="12"/>
  <c r="T29" i="12"/>
  <c r="T7" i="12"/>
  <c r="R32" i="11"/>
  <c r="R31" i="11"/>
  <c r="R6" i="11"/>
  <c r="R7" i="11"/>
  <c r="R8" i="11"/>
  <c r="R9" i="11"/>
  <c r="R10" i="11"/>
  <c r="R11" i="11"/>
  <c r="R12" i="11"/>
  <c r="R13" i="11"/>
  <c r="R14" i="11"/>
  <c r="R15" i="11"/>
  <c r="R16" i="11"/>
  <c r="R17" i="11"/>
  <c r="R18" i="11"/>
  <c r="R19" i="11"/>
  <c r="R20" i="11"/>
  <c r="R21" i="11"/>
  <c r="R22" i="11"/>
  <c r="R23" i="11"/>
  <c r="R24" i="11"/>
  <c r="R25" i="11"/>
  <c r="R26" i="11"/>
  <c r="R27" i="11"/>
  <c r="R28" i="11"/>
  <c r="R29" i="11"/>
  <c r="R30" i="11"/>
  <c r="I2" i="14"/>
  <c r="X9" i="11" l="1"/>
  <c r="X19" i="11"/>
  <c r="Z28" i="12"/>
  <c r="Z22" i="12"/>
  <c r="Z12" i="12"/>
  <c r="X13" i="11"/>
  <c r="X15" i="11"/>
  <c r="Z5" i="12"/>
  <c r="Z27" i="12"/>
  <c r="X10" i="11"/>
  <c r="Z9" i="12"/>
  <c r="Z18" i="12"/>
  <c r="Z21" i="12"/>
  <c r="X24" i="11"/>
  <c r="X22" i="11"/>
  <c r="X6" i="11"/>
  <c r="X30" i="11"/>
  <c r="Z14" i="12"/>
  <c r="X27" i="11"/>
  <c r="X7" i="11"/>
  <c r="Z20" i="12"/>
  <c r="Z17" i="12"/>
  <c r="Z26" i="12"/>
  <c r="Z30" i="12"/>
  <c r="Z7" i="12"/>
  <c r="X26" i="11"/>
  <c r="Z24" i="12"/>
  <c r="X20" i="11"/>
  <c r="Z2" i="12"/>
  <c r="Z8" i="12"/>
  <c r="Z19" i="12"/>
  <c r="Z29" i="12"/>
  <c r="X8" i="11"/>
  <c r="Z10" i="12"/>
  <c r="Z4" i="12"/>
  <c r="Z25" i="12"/>
  <c r="Z3" i="12"/>
  <c r="Z15" i="12"/>
  <c r="Z16" i="12"/>
  <c r="X14" i="11"/>
  <c r="X23" i="11"/>
  <c r="X32" i="11"/>
  <c r="X16" i="11"/>
  <c r="X31" i="11"/>
  <c r="Z11" i="12"/>
  <c r="Z6" i="12"/>
  <c r="Z23" i="12"/>
  <c r="X12" i="11"/>
  <c r="X29" i="11"/>
  <c r="X28" i="11"/>
  <c r="X11" i="11"/>
  <c r="X17" i="11"/>
  <c r="X21" i="11"/>
  <c r="X25" i="11"/>
  <c r="X18" i="11"/>
  <c r="Z13" i="12"/>
  <c r="Y17" i="11"/>
  <c r="Y27" i="11"/>
  <c r="AA17" i="12"/>
  <c r="Y24" i="11"/>
  <c r="AA16" i="12"/>
  <c r="AA24" i="12"/>
  <c r="Y6" i="11"/>
  <c r="AA6" i="12"/>
  <c r="Y14" i="11"/>
  <c r="AA2" i="12"/>
  <c r="AA13" i="12"/>
  <c r="AA22" i="12"/>
  <c r="AA10" i="12"/>
  <c r="AA11" i="12"/>
  <c r="AA20" i="12"/>
  <c r="AA29" i="12"/>
  <c r="Y22" i="11"/>
  <c r="Y29" i="11"/>
  <c r="Y19" i="11"/>
  <c r="AA12" i="12"/>
  <c r="Y32" i="11"/>
  <c r="Y23" i="11"/>
  <c r="AA21" i="12"/>
  <c r="AA7" i="12"/>
  <c r="AA18" i="12"/>
  <c r="AA19" i="12"/>
  <c r="Y13" i="11"/>
  <c r="Y15" i="11"/>
  <c r="AA8" i="12"/>
  <c r="AA15" i="12"/>
  <c r="AA26" i="12"/>
  <c r="Y26" i="11"/>
  <c r="Y25" i="11"/>
  <c r="AA27" i="12"/>
  <c r="Y20" i="11"/>
  <c r="AA3" i="12"/>
  <c r="AA30" i="12"/>
  <c r="AA28" i="12"/>
  <c r="Y7" i="11"/>
  <c r="AA9" i="12"/>
  <c r="AA4" i="12"/>
  <c r="AA25" i="12"/>
  <c r="AA14" i="12"/>
  <c r="Y31" i="11"/>
  <c r="Y11" i="11"/>
  <c r="AA23" i="12"/>
  <c r="Y8" i="11"/>
  <c r="Y9" i="11"/>
  <c r="Y28" i="11"/>
  <c r="Y30" i="11"/>
  <c r="Y21" i="11"/>
  <c r="Y16" i="11"/>
  <c r="Y18" i="11"/>
  <c r="Y12" i="11"/>
  <c r="AA5" i="12"/>
  <c r="Y10" i="11"/>
  <c r="U11" i="12"/>
  <c r="S30" i="11"/>
  <c r="U27" i="12"/>
  <c r="S8" i="11"/>
  <c r="U19" i="12"/>
  <c r="S21" i="11"/>
  <c r="U3" i="12"/>
  <c r="S20" i="11"/>
  <c r="U7" i="12"/>
  <c r="U17" i="12"/>
  <c r="S16" i="11"/>
  <c r="U16" i="12"/>
  <c r="S26" i="11"/>
  <c r="S10" i="11"/>
  <c r="S15" i="11"/>
  <c r="U20" i="12"/>
  <c r="U24" i="12"/>
  <c r="U2" i="12"/>
  <c r="S31" i="11"/>
  <c r="U15" i="12"/>
  <c r="S28" i="11"/>
  <c r="S24" i="11"/>
  <c r="U14" i="12"/>
  <c r="S23" i="11"/>
  <c r="S12" i="11"/>
  <c r="U25" i="12"/>
  <c r="U29" i="12"/>
  <c r="U28" i="12"/>
  <c r="U13" i="12"/>
  <c r="U8" i="12"/>
  <c r="S25" i="11"/>
  <c r="S6" i="11"/>
  <c r="U23" i="12"/>
  <c r="U21" i="12"/>
  <c r="U12" i="12"/>
  <c r="U4" i="12"/>
  <c r="U30" i="12"/>
  <c r="U6" i="12"/>
  <c r="S11" i="11"/>
  <c r="S18" i="11"/>
  <c r="U9" i="12"/>
  <c r="S13" i="11"/>
  <c r="S27" i="11"/>
  <c r="U18" i="12"/>
  <c r="S29" i="11"/>
  <c r="S14" i="11"/>
  <c r="S7" i="11"/>
  <c r="U5" i="12"/>
  <c r="S19" i="11"/>
  <c r="U10" i="12"/>
  <c r="S9" i="11"/>
  <c r="S32" i="11"/>
  <c r="S22" i="11"/>
  <c r="U26" i="12"/>
  <c r="S17" i="11"/>
  <c r="U22" i="12"/>
  <c r="T8" i="11"/>
  <c r="V7" i="12"/>
  <c r="V16" i="12"/>
  <c r="V28" i="12"/>
  <c r="V29" i="12"/>
  <c r="V25" i="12"/>
  <c r="T29" i="11"/>
  <c r="T32" i="11"/>
  <c r="V15" i="12"/>
  <c r="V24" i="12"/>
  <c r="T7" i="11"/>
  <c r="T16" i="11"/>
  <c r="V17" i="12"/>
  <c r="T14" i="11"/>
  <c r="T15" i="11"/>
  <c r="V14" i="12"/>
  <c r="T11" i="11"/>
  <c r="V18" i="12"/>
  <c r="T23" i="11"/>
  <c r="V9" i="12"/>
  <c r="T12" i="11"/>
  <c r="T17" i="11"/>
  <c r="V6" i="12"/>
  <c r="V30" i="12"/>
  <c r="V22" i="12"/>
  <c r="T27" i="11"/>
  <c r="V26" i="12"/>
  <c r="T31" i="11"/>
  <c r="T22" i="11"/>
  <c r="T28" i="11"/>
  <c r="T6" i="11"/>
  <c r="T26" i="11"/>
  <c r="V20" i="12"/>
  <c r="V5" i="12"/>
  <c r="V23" i="12"/>
  <c r="V2" i="12"/>
  <c r="T10" i="11"/>
  <c r="T19" i="11"/>
  <c r="V3" i="12"/>
  <c r="V4" i="12"/>
  <c r="V13" i="12"/>
  <c r="T30" i="11"/>
  <c r="T21" i="11"/>
  <c r="T24" i="11"/>
  <c r="T18" i="11"/>
  <c r="V27" i="12"/>
  <c r="V11" i="12"/>
  <c r="V12" i="12"/>
  <c r="T9" i="11"/>
  <c r="V21" i="12"/>
  <c r="T20" i="11"/>
  <c r="V8" i="12"/>
  <c r="V19" i="12"/>
  <c r="T25" i="11"/>
  <c r="T13" i="11"/>
  <c r="V10" i="12"/>
  <c r="V28" i="11"/>
  <c r="V11" i="11"/>
  <c r="X3" i="12"/>
  <c r="V13" i="11"/>
  <c r="V16" i="11"/>
  <c r="X2" i="12"/>
  <c r="V24" i="11"/>
  <c r="V29" i="11"/>
  <c r="V6" i="11"/>
  <c r="V15" i="11"/>
  <c r="V21" i="11"/>
  <c r="X25" i="12"/>
  <c r="X30" i="12"/>
  <c r="X4" i="12"/>
  <c r="X5" i="12"/>
  <c r="X22" i="12"/>
  <c r="V32" i="11"/>
  <c r="V19" i="11"/>
  <c r="X17" i="12"/>
  <c r="X23" i="12"/>
  <c r="V23" i="11"/>
  <c r="X12" i="12"/>
  <c r="X6" i="12"/>
  <c r="V14" i="11"/>
  <c r="X14" i="12"/>
  <c r="X18" i="12"/>
  <c r="V8" i="11"/>
  <c r="X13" i="12"/>
  <c r="V31" i="11"/>
  <c r="V22" i="11"/>
  <c r="V20" i="11"/>
  <c r="V25" i="11"/>
  <c r="X8" i="12"/>
  <c r="V12" i="11"/>
  <c r="X26" i="12"/>
  <c r="V26" i="11"/>
  <c r="X15" i="12"/>
  <c r="X19" i="12"/>
  <c r="V18" i="11"/>
  <c r="X24" i="12"/>
  <c r="X9" i="12"/>
  <c r="X21" i="12"/>
  <c r="X16" i="12"/>
  <c r="V10" i="11"/>
  <c r="X7" i="12"/>
  <c r="X29" i="12"/>
  <c r="X10" i="12"/>
  <c r="X20" i="12"/>
  <c r="X28" i="12"/>
  <c r="V7" i="11"/>
  <c r="V9" i="11"/>
  <c r="V30" i="11"/>
  <c r="X27" i="12"/>
  <c r="V17" i="11"/>
  <c r="X11" i="12"/>
  <c r="V27" i="11"/>
  <c r="U11" i="11"/>
  <c r="W3" i="12"/>
  <c r="W12" i="12"/>
  <c r="W15" i="12"/>
  <c r="W25" i="12"/>
  <c r="W17" i="12"/>
  <c r="U14" i="11"/>
  <c r="W20" i="12"/>
  <c r="U22" i="11"/>
  <c r="U18" i="11"/>
  <c r="W30" i="12"/>
  <c r="W9" i="12"/>
  <c r="W18" i="12"/>
  <c r="W29" i="12"/>
  <c r="W27" i="12"/>
  <c r="U31" i="11"/>
  <c r="U27" i="11"/>
  <c r="U17" i="11"/>
  <c r="U7" i="11"/>
  <c r="W16" i="12"/>
  <c r="U25" i="11"/>
  <c r="U6" i="11"/>
  <c r="W28" i="12"/>
  <c r="W21" i="12"/>
  <c r="W6" i="12"/>
  <c r="U10" i="11"/>
  <c r="W13" i="12"/>
  <c r="W22" i="12"/>
  <c r="W5" i="12"/>
  <c r="W4" i="12"/>
  <c r="U8" i="11"/>
  <c r="W2" i="12"/>
  <c r="U19" i="11"/>
  <c r="U28" i="11"/>
  <c r="U32" i="11"/>
  <c r="W14" i="12"/>
  <c r="U24" i="11"/>
  <c r="U16" i="11"/>
  <c r="U12" i="11"/>
  <c r="U23" i="11"/>
  <c r="U13" i="11"/>
  <c r="U26" i="11"/>
  <c r="W24" i="12"/>
  <c r="W19" i="12"/>
  <c r="U15" i="11"/>
  <c r="U20" i="11"/>
  <c r="W23" i="12"/>
  <c r="W8" i="12"/>
  <c r="U29" i="11"/>
  <c r="U30" i="11"/>
  <c r="U21" i="11"/>
  <c r="W7" i="12"/>
  <c r="W26" i="12"/>
  <c r="W11" i="12"/>
  <c r="W10" i="12"/>
  <c r="U9" i="11"/>
  <c r="Y27" i="12"/>
  <c r="Y24" i="12"/>
  <c r="Y15" i="12"/>
  <c r="W27" i="11"/>
  <c r="W24" i="11"/>
  <c r="Y30" i="12"/>
  <c r="W32" i="11"/>
  <c r="Y28" i="12"/>
  <c r="W13" i="11"/>
  <c r="Y17" i="12"/>
  <c r="Y23" i="12"/>
  <c r="Y9" i="12"/>
  <c r="Y5" i="12"/>
  <c r="W12" i="11"/>
  <c r="W15" i="11"/>
  <c r="W17" i="11"/>
  <c r="Y16" i="12"/>
  <c r="Y12" i="12"/>
  <c r="W16" i="11"/>
  <c r="Y2" i="12"/>
  <c r="Y29" i="12"/>
  <c r="Y8" i="12"/>
  <c r="Y26" i="12"/>
  <c r="Y18" i="12"/>
  <c r="W28" i="11"/>
  <c r="W31" i="11"/>
  <c r="W23" i="11"/>
  <c r="W8" i="11"/>
  <c r="W19" i="11"/>
  <c r="W18" i="11"/>
  <c r="Y19" i="12"/>
  <c r="Y22" i="12"/>
  <c r="W14" i="11"/>
  <c r="Y6" i="12"/>
  <c r="Y25" i="12"/>
  <c r="Y7" i="12"/>
  <c r="Y11" i="12"/>
  <c r="Y21" i="12"/>
  <c r="W21" i="11"/>
  <c r="Y13" i="12"/>
  <c r="W9" i="11"/>
  <c r="Y10" i="12"/>
  <c r="Y20" i="12"/>
  <c r="W29" i="11"/>
  <c r="W22" i="11"/>
  <c r="Y4" i="12"/>
  <c r="W11" i="11"/>
  <c r="Y3" i="12"/>
  <c r="W26" i="11"/>
  <c r="W7" i="11"/>
  <c r="W6" i="11"/>
  <c r="W30" i="11"/>
  <c r="W10" i="11"/>
  <c r="Y14" i="12"/>
  <c r="W20" i="11"/>
  <c r="W25" i="11"/>
  <c r="S5" i="12" l="1"/>
  <c r="E24" i="4" s="1"/>
  <c r="Q18" i="11"/>
  <c r="E32" i="5" s="1"/>
  <c r="Q6" i="11"/>
  <c r="E20" i="5" s="1"/>
  <c r="Q20" i="11"/>
  <c r="E34" i="5" s="1"/>
  <c r="Q17" i="11"/>
  <c r="E31" i="5" s="1"/>
  <c r="Q7" i="11"/>
  <c r="E21" i="5" s="1"/>
  <c r="Q11" i="11"/>
  <c r="E25" i="5" s="1"/>
  <c r="Q25" i="11"/>
  <c r="E39" i="5" s="1"/>
  <c r="S14" i="12"/>
  <c r="E33" i="4" s="1"/>
  <c r="Q15" i="11"/>
  <c r="E29" i="5" s="1"/>
  <c r="S3" i="12"/>
  <c r="E22" i="4" s="1"/>
  <c r="S26" i="12"/>
  <c r="E45" i="4" s="1"/>
  <c r="Q14" i="11"/>
  <c r="E28" i="5" s="1"/>
  <c r="S6" i="12"/>
  <c r="E25" i="4" s="1"/>
  <c r="S8" i="12"/>
  <c r="E27" i="4" s="1"/>
  <c r="Q24" i="11"/>
  <c r="E38" i="5" s="1"/>
  <c r="Q10" i="11"/>
  <c r="Q21" i="11"/>
  <c r="E35" i="5" s="1"/>
  <c r="Q22" i="11"/>
  <c r="Q29" i="11"/>
  <c r="E43" i="5" s="1"/>
  <c r="S30" i="12"/>
  <c r="E49" i="4" s="1"/>
  <c r="S13" i="12"/>
  <c r="E32" i="4" s="1"/>
  <c r="Q28" i="11"/>
  <c r="E42" i="5" s="1"/>
  <c r="Q26" i="11"/>
  <c r="S19" i="12"/>
  <c r="E38" i="4" s="1"/>
  <c r="Q23" i="11"/>
  <c r="E37" i="5" s="1"/>
  <c r="Q32" i="11"/>
  <c r="E46" i="5" s="1"/>
  <c r="S18" i="12"/>
  <c r="E37" i="4" s="1"/>
  <c r="S4" i="12"/>
  <c r="E23" i="4" s="1"/>
  <c r="S28" i="12"/>
  <c r="E47" i="4" s="1"/>
  <c r="S15" i="12"/>
  <c r="E34" i="4" s="1"/>
  <c r="S16" i="12"/>
  <c r="E35" i="4" s="1"/>
  <c r="Q8" i="11"/>
  <c r="E22" i="5" s="1"/>
  <c r="S22" i="12"/>
  <c r="E41" i="4" s="1"/>
  <c r="Q9" i="11"/>
  <c r="E23" i="5" s="1"/>
  <c r="Q27" i="11"/>
  <c r="E41" i="5" s="1"/>
  <c r="S12" i="12"/>
  <c r="E31" i="4" s="1"/>
  <c r="S29" i="12"/>
  <c r="E48" i="4" s="1"/>
  <c r="Q31" i="11"/>
  <c r="E45" i="5" s="1"/>
  <c r="Q16" i="11"/>
  <c r="S27" i="12"/>
  <c r="E46" i="4" s="1"/>
  <c r="S10" i="12"/>
  <c r="E29" i="4" s="1"/>
  <c r="Q13" i="11"/>
  <c r="E27" i="5" s="1"/>
  <c r="S21" i="12"/>
  <c r="E40" i="4" s="1"/>
  <c r="S25" i="12"/>
  <c r="E44" i="4" s="1"/>
  <c r="S2" i="12"/>
  <c r="E21" i="4" s="1"/>
  <c r="S17" i="12"/>
  <c r="E36" i="4" s="1"/>
  <c r="Q30" i="11"/>
  <c r="S20" i="12"/>
  <c r="E39" i="4" s="1"/>
  <c r="Q19" i="11"/>
  <c r="E33" i="5" s="1"/>
  <c r="S9" i="12"/>
  <c r="E28" i="4" s="1"/>
  <c r="S23" i="12"/>
  <c r="E42" i="4" s="1"/>
  <c r="Q12" i="11"/>
  <c r="E26" i="5" s="1"/>
  <c r="S24" i="12"/>
  <c r="E43" i="4" s="1"/>
  <c r="S7" i="12"/>
  <c r="E26" i="4" s="1"/>
  <c r="S11" i="12"/>
  <c r="E3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D6" authorId="0" shapeId="0" xr:uid="{89239302-98F1-EF49-B324-D613AC3D2F77}">
      <text>
        <r>
          <rPr>
            <sz val="10"/>
            <color rgb="FF000000"/>
            <rFont val="Tahoma"/>
            <family val="2"/>
          </rPr>
          <t>Brief description of the technology and identification of what is in and out of the asssessment scope.</t>
        </r>
      </text>
    </comment>
    <comment ref="G6" authorId="0" shapeId="0" xr:uid="{924226AE-F763-5C40-B7C3-2AA08BDA36D2}">
      <text>
        <r>
          <rPr>
            <sz val="10"/>
            <color rgb="FF000000"/>
            <rFont val="Tahoma"/>
            <family val="2"/>
          </rPr>
          <t xml:space="preserve">The individuals working on this assessment. </t>
        </r>
      </text>
    </comment>
    <comment ref="D8" authorId="0" shapeId="0" xr:uid="{7079E4FB-FEE5-CB4D-8FB2-D68A59E7F051}">
      <text>
        <r>
          <rPr>
            <sz val="10"/>
            <color rgb="FF000000"/>
            <rFont val="Tahoma"/>
            <family val="2"/>
          </rPr>
          <t xml:space="preserve">The name of the sanitation technology. 
</t>
        </r>
        <r>
          <rPr>
            <sz val="10"/>
            <color rgb="FF000000"/>
            <rFont val="Tahoma"/>
            <family val="2"/>
          </rPr>
          <t xml:space="preserve">
</t>
        </r>
        <r>
          <rPr>
            <sz val="10"/>
            <color rgb="FF000000"/>
            <rFont val="Tahoma"/>
            <family val="2"/>
          </rPr>
          <t xml:space="preserve">Example: Septic Tank
</t>
        </r>
      </text>
    </comment>
    <comment ref="D9" authorId="0" shapeId="0" xr:uid="{1E8C5DF1-DD76-A64C-9529-F3F2F76C0C68}">
      <text>
        <r>
          <rPr>
            <sz val="10"/>
            <color rgb="FF000000"/>
            <rFont val="Tahoma"/>
            <family val="2"/>
          </rPr>
          <t xml:space="preserve">The date(s) the assessment was conducted. </t>
        </r>
      </text>
    </comment>
    <comment ref="D10" authorId="0" shapeId="0" xr:uid="{D9952429-8CE3-5245-9784-9A86A3D67A87}">
      <text>
        <r>
          <rPr>
            <sz val="10"/>
            <color rgb="FF000000"/>
            <rFont val="Tahoma"/>
            <family val="2"/>
          </rPr>
          <t xml:space="preserve">Briefly describe the sanitation technology. 
</t>
        </r>
        <r>
          <rPr>
            <sz val="10"/>
            <color rgb="FF000000"/>
            <rFont val="Tahoma"/>
            <family val="2"/>
          </rPr>
          <t xml:space="preserve">
</t>
        </r>
        <r>
          <rPr>
            <sz val="10"/>
            <color rgb="FF000000"/>
            <rFont val="Tahoma"/>
            <family val="2"/>
          </rPr>
          <t>Example (Septic Tank): Underground two-chamber concrete septic tank with soak pit. Soak pit is built with pre-cast reinforced unlined concrete rings with no based. Soak pit is not filled with gravel.</t>
        </r>
      </text>
    </comment>
    <comment ref="D12" authorId="0" shapeId="0" xr:uid="{42114BFD-9759-014C-AC0F-8C9B5AC00736}">
      <text>
        <r>
          <rPr>
            <sz val="10"/>
            <color rgb="FF000000"/>
            <rFont val="Tahoma"/>
            <family val="2"/>
          </rPr>
          <t xml:space="preserve">What location is the sanitation technology assessed for? (e.g. country, region, state)
</t>
        </r>
        <r>
          <rPr>
            <sz val="10"/>
            <color rgb="FF000000"/>
            <rFont val="Tahoma"/>
            <family val="2"/>
          </rPr>
          <t xml:space="preserve">
</t>
        </r>
        <r>
          <rPr>
            <sz val="10"/>
            <color rgb="FF000000"/>
            <rFont val="Tahoma"/>
            <family val="2"/>
          </rPr>
          <t xml:space="preserve">Example: Rural, coastal Bangladesh. </t>
        </r>
      </text>
    </comment>
    <comment ref="D13" authorId="0" shapeId="0" xr:uid="{F41DF15D-0206-9C4B-8914-B71AF8FDB587}">
      <text>
        <r>
          <rPr>
            <sz val="10"/>
            <color rgb="FF000000"/>
            <rFont val="Tahoma"/>
            <family val="2"/>
          </rPr>
          <t xml:space="preserve">What components of the sanitation technology are included in this assessment? 
</t>
        </r>
        <r>
          <rPr>
            <sz val="10"/>
            <color rgb="FF000000"/>
            <rFont val="Tahoma"/>
            <family val="2"/>
          </rPr>
          <t xml:space="preserve">
</t>
        </r>
        <r>
          <rPr>
            <sz val="10"/>
            <color rgb="FF000000"/>
            <rFont val="Tahoma"/>
            <family val="2"/>
          </rPr>
          <t xml:space="preserve">Example: </t>
        </r>
        <r>
          <rPr>
            <sz val="10"/>
            <color rgb="FF000000"/>
            <rFont val="Arial"/>
            <family val="2"/>
          </rPr>
          <t xml:space="preserve">Septic tank; soak pit; pipe from tank to the soak pit; ventilation pipe </t>
        </r>
      </text>
    </comment>
    <comment ref="D15" authorId="0" shapeId="0" xr:uid="{F0A31CC7-5A97-FE4E-B731-A2BC04ABF8F0}">
      <text>
        <r>
          <rPr>
            <sz val="10"/>
            <color rgb="FF000000"/>
            <rFont val="Tahoma"/>
            <family val="2"/>
          </rPr>
          <t>What components of the sanitation technology are excluded from this assessment?
Example: Superstructure; pipes from toilet to the tank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E6" authorId="0" shapeId="0" xr:uid="{9A3115D7-9FF7-5C44-B428-58FF04C2D001}">
      <text>
        <r>
          <rPr>
            <sz val="10"/>
            <color rgb="FF000000"/>
            <rFont val="Tahoma"/>
            <family val="2"/>
          </rPr>
          <t xml:space="preserve">Indicate if the HET is relevant to the context in which you are assessing the ST.
</t>
        </r>
        <r>
          <rPr>
            <sz val="10"/>
            <color rgb="FF000000"/>
            <rFont val="Tahoma"/>
            <family val="2"/>
          </rPr>
          <t xml:space="preserve">
</t>
        </r>
        <r>
          <rPr>
            <sz val="10"/>
            <color rgb="FF000000"/>
            <rFont val="Tahoma"/>
            <family val="2"/>
          </rPr>
          <t>For example, if the ST is being assessed in a context that is not coastal and air temperature does not vary significantly, the 'high sea level' and 'changing air temperature' HETs may be deselected.</t>
        </r>
      </text>
    </comment>
    <comment ref="F6" authorId="0" shapeId="0" xr:uid="{97742818-9096-A747-90F8-6B736513EF0B}">
      <text>
        <r>
          <rPr>
            <sz val="10"/>
            <color rgb="FF000000"/>
            <rFont val="Tahoma"/>
            <family val="2"/>
          </rPr>
          <t xml:space="preserve">Provide comments on the nature of the hazardous event or trend in the context in which you are assessing and how climate change is likely to influence it.
</t>
        </r>
        <r>
          <rPr>
            <sz val="10"/>
            <color rgb="FF000000"/>
            <rFont val="Tahoma"/>
            <family val="2"/>
          </rPr>
          <t xml:space="preserve">
</t>
        </r>
        <r>
          <rPr>
            <sz val="10"/>
            <color rgb="FF000000"/>
            <rFont val="Tahoma"/>
            <family val="2"/>
          </rPr>
          <t>For example, flooding events are common in the wet season. These are expected to increase in intensity and frequency due to climate change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E19" authorId="0" shapeId="0" xr:uid="{CCEE290D-8E32-486C-870D-E25CF09738C8}">
      <text>
        <r>
          <rPr>
            <sz val="9"/>
            <color rgb="FF000000"/>
            <rFont val="Tahoma"/>
            <family val="2"/>
          </rPr>
          <t xml:space="preserve">Filter by HET to see only hazards that are relevant to that HET
</t>
        </r>
      </text>
    </comment>
    <comment ref="G19" authorId="1" shapeId="0" xr:uid="{534C0926-9434-5A46-8CB6-10765021A83C}">
      <text>
        <r>
          <rPr>
            <sz val="10"/>
            <color rgb="FF000000"/>
            <rFont val="Tahoma"/>
            <family val="2"/>
          </rPr>
          <t xml:space="preserve">If the sanitation technology is exposed to the specfic example of the hazard, how severe will the impact be?
Low = Little or no impact on the sanitation technology
Moderate = Moderate impact causing reduced performance
High = High impact likely causing a failure of the sanitation technology
</t>
        </r>
      </text>
    </comment>
    <comment ref="H19" authorId="1" shapeId="0" xr:uid="{B79318CE-7C7E-8047-AB29-89041566B81C}">
      <text>
        <r>
          <rPr>
            <sz val="10"/>
            <color rgb="FF000000"/>
            <rFont val="Tahoma"/>
            <family val="2"/>
          </rPr>
          <t>Why was the low, moderate or high impact rating given?</t>
        </r>
      </text>
    </comment>
    <comment ref="D21" authorId="0" shapeId="0" xr:uid="{2E038362-95EC-4805-A00C-EB644F9A22AA}">
      <text>
        <r>
          <rPr>
            <sz val="9"/>
            <color rgb="FF000000"/>
            <rFont val="Tahoma"/>
            <family val="2"/>
          </rPr>
          <t>An 8m3 mass of soil containing small rocks slides down a slope and into the sanitation technology</t>
        </r>
      </text>
    </comment>
    <comment ref="D22" authorId="0" shapeId="0" xr:uid="{E949F652-DD98-4CEC-98D6-015979D744AB}">
      <text>
        <r>
          <rPr>
            <sz val="9"/>
            <color rgb="FF000000"/>
            <rFont val="Tahoma"/>
            <family val="2"/>
          </rPr>
          <t xml:space="preserve">Corrosion of parts exposed to saltwater or higher concentrations of waste during low flows happens two times faster than under normal conditions
</t>
        </r>
      </text>
    </comment>
    <comment ref="D23" authorId="0" shapeId="0" xr:uid="{5F98E2C8-5B56-468A-AAFF-4828F57CF294}">
      <text>
        <r>
          <rPr>
            <sz val="9"/>
            <color rgb="FF000000"/>
            <rFont val="Tahoma"/>
            <family val="2"/>
          </rPr>
          <t xml:space="preserve">Water or wind force that causes 30cm of topsoil to be removed at the base of the technology at one side
</t>
        </r>
      </text>
    </comment>
    <comment ref="D24" authorId="0" shapeId="0" xr:uid="{C5DA134F-25C0-496F-840C-E442C3CFE2D3}">
      <text>
        <r>
          <rPr>
            <sz val="9"/>
            <color indexed="81"/>
            <rFont val="Tahoma"/>
            <family val="2"/>
          </rPr>
          <t>Due to changes in temperature or moisture, the soil under the sanitation technology or in which the sanitation technology is buried undergoes daily and annual cyclic expansions and contractions</t>
        </r>
      </text>
    </comment>
    <comment ref="D25" authorId="0" shapeId="0" xr:uid="{EB61A283-6B8A-4CCC-A284-2D27B1EDB093}">
      <text>
        <r>
          <rPr>
            <sz val="9"/>
            <color rgb="FF000000"/>
            <rFont val="Tahoma"/>
            <family val="2"/>
          </rPr>
          <t>Low intensity fire where flame height reaches 60cm. Heat intense enough to scorch trees but not to the extent that trees will carry fire.</t>
        </r>
      </text>
    </comment>
    <comment ref="D26" authorId="0" shapeId="0" xr:uid="{FABBBC24-7E81-4CD2-9D61-8F41756118B3}">
      <text>
        <r>
          <rPr>
            <sz val="9"/>
            <color indexed="81"/>
            <rFont val="Tahoma"/>
            <family val="2"/>
          </rPr>
          <t xml:space="preserve">Enough flowing water to knock an adult over or cause a car to lose traction (i.e. ~10cm of flowing water)
</t>
        </r>
      </text>
    </comment>
    <comment ref="D27" authorId="0" shapeId="0" xr:uid="{9E08D266-8A63-4F77-99B7-0008B615442D}">
      <text>
        <r>
          <rPr>
            <sz val="9"/>
            <color indexed="81"/>
            <rFont val="Tahoma"/>
            <family val="2"/>
          </rPr>
          <t xml:space="preserve">Where sewers or pipes are used, a day's peak inflow velocity is triple the average daily inflow velocity due to increased usage, flushing or water ingress during wet periods
</t>
        </r>
      </text>
    </comment>
    <comment ref="D28" authorId="0" shapeId="0" xr:uid="{6FB86C7F-F372-4301-B7A8-DC26CA037359}">
      <text>
        <r>
          <rPr>
            <sz val="9"/>
            <color indexed="81"/>
            <rFont val="Tahoma"/>
            <family val="2"/>
          </rPr>
          <t xml:space="preserve">A day's inflow volume is triple the average daily inflow volume due to increased usage, flushing or water ingress during wet periods
</t>
        </r>
      </text>
    </comment>
    <comment ref="D29" authorId="0" shapeId="0" xr:uid="{8B1EEAB8-269A-431D-885C-5F8FEAFD89B9}">
      <text>
        <r>
          <rPr>
            <sz val="9"/>
            <color indexed="81"/>
            <rFont val="Tahoma"/>
            <family val="2"/>
          </rPr>
          <t xml:space="preserve">Where the sanitation technology discharges to a waterway, the waterway rises by 1m
</t>
        </r>
      </text>
    </comment>
    <comment ref="D30" authorId="0" shapeId="0" xr:uid="{BD8C9369-BF96-494C-939B-D2FB44C554E7}">
      <text>
        <r>
          <rPr>
            <sz val="9"/>
            <color indexed="81"/>
            <rFont val="Tahoma"/>
            <family val="2"/>
          </rPr>
          <t xml:space="preserve">Where sewers or pipes are used, the day's lowest inflow velocity is only 20% of the average daily inflow velocity due to decreased usage, flushing or water ingress during dry periods
</t>
        </r>
      </text>
    </comment>
    <comment ref="D31" authorId="0" shapeId="0" xr:uid="{7BAA064B-5328-4682-9F91-5A614511C66E}">
      <text>
        <r>
          <rPr>
            <sz val="9"/>
            <color indexed="81"/>
            <rFont val="Tahoma"/>
            <family val="2"/>
          </rPr>
          <t>The day's inflow volume is only 20% of the daily average inflow volume due to decreased usage, flushing, or water ingress during dry periods</t>
        </r>
      </text>
    </comment>
    <comment ref="D32" authorId="0" shapeId="0" xr:uid="{DC102BD4-946F-4366-85EC-A3753C1A706F}">
      <text>
        <r>
          <rPr>
            <sz val="9"/>
            <color indexed="81"/>
            <rFont val="Tahoma"/>
            <family val="2"/>
          </rPr>
          <t>Groundwater table rises to within 0.5m of the ground surface (potential to create water ingress or buoyancy force)</t>
        </r>
      </text>
    </comment>
    <comment ref="D33" authorId="0" shapeId="0" xr:uid="{D2B06961-48FD-4E11-AD68-0375FF57A737}">
      <text>
        <r>
          <rPr>
            <sz val="9"/>
            <color rgb="FF000000"/>
            <rFont val="Tahoma"/>
            <family val="2"/>
          </rPr>
          <t>Diurnal air temperature (variation in daily temperature) is 20⁰C</t>
        </r>
      </text>
    </comment>
    <comment ref="D34" authorId="0" shapeId="0" xr:uid="{484F3506-5C30-4E98-9F94-DA5A10F781BC}">
      <text>
        <r>
          <rPr>
            <sz val="9"/>
            <color indexed="81"/>
            <rFont val="Tahoma"/>
            <family val="2"/>
          </rPr>
          <t xml:space="preserve">Fallen tree uproots sewers or pipes within 60cm of the ground surface
</t>
        </r>
      </text>
    </comment>
    <comment ref="D35" authorId="0" shapeId="0" xr:uid="{F493A6DC-AAFC-42C8-963E-1ECDB4C9E295}">
      <text>
        <r>
          <rPr>
            <sz val="9"/>
            <color indexed="81"/>
            <rFont val="Tahoma"/>
            <family val="2"/>
          </rPr>
          <t>Where sewers or pipes are used, average monthly inflow velocity in the wet season is 40% higher than the dry season due  to changes in usage, flushing and water ingress</t>
        </r>
      </text>
    </comment>
    <comment ref="D36" authorId="0" shapeId="0" xr:uid="{2CCBE82B-825C-4E87-AC44-6848D369E279}">
      <text>
        <r>
          <rPr>
            <sz val="9"/>
            <color indexed="81"/>
            <rFont val="Tahoma"/>
            <family val="2"/>
          </rPr>
          <t>Average monthly inflow volume in the wet season is 40% higher than the dry season due  to changes in usage, flushing and water ingress</t>
        </r>
      </text>
    </comment>
    <comment ref="D37" authorId="0" shapeId="0" xr:uid="{6E639321-81BC-44D1-AA72-C20121C17EDF}">
      <text>
        <r>
          <rPr>
            <sz val="9"/>
            <color indexed="81"/>
            <rFont val="Tahoma"/>
            <family val="2"/>
          </rPr>
          <t>Any water ingress that may occur to the sanitation technology due to groundwater saturation and 30cm height of standing floodwater (potential for water damage, overflow, and excess siltation)</t>
        </r>
      </text>
    </comment>
    <comment ref="D38" authorId="0" shapeId="0" xr:uid="{CCC52616-AA4C-4767-921B-9901FF1E07EB}">
      <text>
        <r>
          <rPr>
            <sz val="9"/>
            <color indexed="81"/>
            <rFont val="Tahoma"/>
            <family val="2"/>
          </rPr>
          <t>Category 1 tropical cyclone: Sustained windspeeds of 63-88kph and gusts of 91-125 kph</t>
        </r>
        <r>
          <rPr>
            <b/>
            <sz val="9"/>
            <color indexed="81"/>
            <rFont val="Tahoma"/>
            <family val="2"/>
          </rPr>
          <t xml:space="preserve"> </t>
        </r>
      </text>
    </comment>
    <comment ref="D39" authorId="0" shapeId="0" xr:uid="{1CFC0DCE-8071-4DE9-94AF-40D4419035AE}">
      <text>
        <r>
          <rPr>
            <sz val="9"/>
            <color indexed="81"/>
            <rFont val="Tahoma"/>
            <family val="2"/>
          </rPr>
          <t>A 50kg tree branch breaks off and falls on the sanitation technology</t>
        </r>
      </text>
    </comment>
    <comment ref="D40" authorId="0" shapeId="0" xr:uid="{A6635091-A0F3-42EC-B9A8-4C08D6BC468D}">
      <text>
        <r>
          <rPr>
            <sz val="9"/>
            <color indexed="81"/>
            <rFont val="Tahoma"/>
            <family val="2"/>
          </rPr>
          <t>During a storm surge, seawater reaches outlet pipes or manholes</t>
        </r>
      </text>
    </comment>
    <comment ref="D41" authorId="0" shapeId="0" xr:uid="{793FC8F5-94E7-434F-8B24-65330C23E235}">
      <text>
        <r>
          <rPr>
            <sz val="9"/>
            <color indexed="81"/>
            <rFont val="Tahoma"/>
            <family val="2"/>
          </rPr>
          <t xml:space="preserve">Pathogen concentration varies by 50% across seasons
</t>
        </r>
      </text>
    </comment>
    <comment ref="D42" authorId="0" shapeId="0" xr:uid="{F2B231A5-ECCD-4169-B411-2D54B099C42E}">
      <text>
        <r>
          <rPr>
            <sz val="9"/>
            <color indexed="81"/>
            <rFont val="Tahoma"/>
            <family val="2"/>
          </rPr>
          <t>Five or more consecutive days of prolonged heat in which the daily maximum temperature is higher than the average maximum temperature by 5 °C or more (potential to affect biological treatment processes)</t>
        </r>
      </text>
    </comment>
    <comment ref="D43" authorId="0" shapeId="0" xr:uid="{6A8115B6-E26E-474C-B64B-03B2AB26B34D}">
      <text>
        <r>
          <rPr>
            <sz val="9"/>
            <color indexed="81"/>
            <rFont val="Tahoma"/>
            <family val="2"/>
          </rPr>
          <t>Inflow temperature changes by +/- 15⁰C over average expected inflow temperature</t>
        </r>
      </text>
    </comment>
    <comment ref="D44" authorId="0" shapeId="0" xr:uid="{C7FA0335-65A3-484E-A027-521104B1D85A}">
      <text>
        <r>
          <rPr>
            <sz val="9"/>
            <color indexed="81"/>
            <rFont val="Tahoma"/>
            <family val="2"/>
          </rPr>
          <t>Where the sanitation technology discharges to a waterway, the waterway lowers by 1m</t>
        </r>
      </text>
    </comment>
    <comment ref="D45" authorId="0" shapeId="0" xr:uid="{17769AFC-DE97-4D56-A630-E064D8FBE42F}">
      <text>
        <r>
          <rPr>
            <sz val="9"/>
            <color indexed="81"/>
            <rFont val="Tahoma"/>
            <family val="2"/>
          </rPr>
          <t>Operators and technicians cannot access the sanitation technology for operations and small, routine repairs for 3 days</t>
        </r>
      </text>
    </comment>
    <comment ref="D46" authorId="0" shapeId="0" xr:uid="{1465BBB2-3DBE-4E51-A8D1-18913C1A4A25}">
      <text>
        <r>
          <rPr>
            <sz val="9"/>
            <color indexed="81"/>
            <rFont val="Tahoma"/>
            <family val="2"/>
          </rPr>
          <t>The sanitation technology cannot be accessed for 3 days to repair major breakage (whichever major breakage is most likely to occur)</t>
        </r>
      </text>
    </comment>
    <comment ref="D47" authorId="0" shapeId="0" xr:uid="{CE79D5D7-F311-4474-A44D-D9ADB158D219}">
      <text>
        <r>
          <rPr>
            <sz val="9"/>
            <color indexed="81"/>
            <rFont val="Tahoma"/>
            <family val="2"/>
          </rPr>
          <t>External electricity cut off for 7 days</t>
        </r>
      </text>
    </comment>
    <comment ref="D48" authorId="0" shapeId="0" xr:uid="{78B1B035-8B79-4460-804B-9E113AF02EA8}">
      <text>
        <r>
          <rPr>
            <sz val="9"/>
            <color indexed="81"/>
            <rFont val="Tahoma"/>
            <family val="2"/>
          </rPr>
          <t>Faecal sludge emptying services cannot desludge the sanitation technology for 3 days when desludging is needed</t>
        </r>
      </text>
    </comment>
    <comment ref="D49" authorId="0" shapeId="0" xr:uid="{4FD254B5-98E6-4F3D-BE4C-785648B1E78D}">
      <text>
        <r>
          <rPr>
            <sz val="9"/>
            <color rgb="FF000000"/>
            <rFont val="Tahoma"/>
            <family val="2"/>
          </rPr>
          <t>Normal amounts of external water inputs used for operating the sanitation technology are cut off for 7 days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F18" authorId="0" shapeId="0" xr:uid="{42B8CE40-6807-4EE5-9C4A-8E1BA11BF6ED}">
      <text>
        <r>
          <rPr>
            <sz val="9"/>
            <color indexed="81"/>
            <rFont val="Tahoma"/>
            <family val="2"/>
          </rPr>
          <t xml:space="preserve">If the design feature is reflected in the sanitation technology design in any way that supports resilience, select yes and describe it in the next column.
</t>
        </r>
      </text>
    </comment>
    <comment ref="G18" authorId="0" shapeId="0" xr:uid="{20AF6DC1-8844-490F-8279-7B69536AD59B}">
      <text>
        <r>
          <rPr>
            <sz val="10"/>
            <color indexed="81"/>
            <rFont val="Tahoma"/>
            <family val="2"/>
          </rPr>
          <t xml:space="preserve">If the design feature is reflected in the sanitation technology design, describe how it helps accommodate climate hazards
</t>
        </r>
      </text>
    </comment>
    <comment ref="H18" authorId="1" shapeId="0" xr:uid="{B6A34B30-8B8B-6A47-99B6-D5B636AA2352}">
      <text>
        <r>
          <rPr>
            <sz val="10"/>
            <color rgb="FF000000"/>
            <rFont val="Tahoma"/>
            <family val="2"/>
          </rPr>
          <t xml:space="preserve">If the design feature is absent or a weak point, how does this compromise the sanitation technology's climate resilience? 
</t>
        </r>
        <r>
          <rPr>
            <b/>
            <sz val="10"/>
            <color rgb="FF000000"/>
            <rFont val="Tahoma"/>
            <family val="2"/>
          </rPr>
          <t xml:space="preserve">
Note: </t>
        </r>
        <r>
          <rPr>
            <sz val="10"/>
            <color rgb="FF000000"/>
            <rFont val="Tahoma"/>
            <family val="2"/>
          </rPr>
          <t>Answering this question is optional. Some features are not relevant to a sanitation technology, or not integrated to avoid over-design. Leave blank if n/a or no ideas.</t>
        </r>
      </text>
    </comment>
    <comment ref="I18" authorId="1" shapeId="0" xr:uid="{20629AA0-5A62-5942-99AF-0A9C31B0307D}">
      <text>
        <r>
          <rPr>
            <sz val="10"/>
            <color rgb="FF000000"/>
            <rFont val="Tahoma"/>
            <family val="2"/>
          </rPr>
          <t>How could the climate resilience of the sanitation technology be improved through incorporating this design feature? Leave blank if n/a or no ideas.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Jess MacArthur</author>
    <author>Jeremy Kohlitz</author>
    <author>tc={913E4BF8-8871-464B-A587-473A20B5B1BF}</author>
  </authors>
  <commentList>
    <comment ref="E6" authorId="0" shapeId="0" xr:uid="{6ADA6395-B0FD-6B48-B55F-23EE4328481E}">
      <text>
        <r>
          <rPr>
            <b/>
            <sz val="10"/>
            <color rgb="FF000000"/>
            <rFont val="Tahoma"/>
            <family val="2"/>
          </rPr>
          <t>Calculated automatically from responses in step 3</t>
        </r>
      </text>
    </comment>
    <comment ref="E7" authorId="0" shapeId="0" xr:uid="{BEC0F2DC-5358-9248-9E7E-E324B18D0658}">
      <text>
        <r>
          <rPr>
            <sz val="10"/>
            <color rgb="FF000000"/>
            <rFont val="Tahoma"/>
            <family val="2"/>
          </rPr>
          <t>% hazards with low impact on sanitation technology</t>
        </r>
      </text>
    </comment>
    <comment ref="F7" authorId="0" shapeId="0" xr:uid="{E5F7649C-9064-9244-8C5D-D1D018E7EA77}">
      <text>
        <r>
          <rPr>
            <sz val="10"/>
            <color rgb="FF000000"/>
            <rFont val="Tahoma"/>
            <family val="2"/>
          </rPr>
          <t>% hazards with moderate impact on sanitation technology</t>
        </r>
      </text>
    </comment>
    <comment ref="G7" authorId="0" shapeId="0" xr:uid="{08F8D719-9B4B-9540-85C5-250EEF00B0B8}">
      <text>
        <r>
          <rPr>
            <sz val="10"/>
            <color rgb="FF000000"/>
            <rFont val="Tahoma"/>
            <family val="2"/>
          </rPr>
          <t>% hazards with high impact on sanitation technology</t>
        </r>
      </text>
    </comment>
    <comment ref="H7" authorId="1" shapeId="0" xr:uid="{3E4E84C4-5793-45D6-A755-8A82FFC5A28F}">
      <text>
        <r>
          <rPr>
            <b/>
            <sz val="9"/>
            <color rgb="FF000000"/>
            <rFont val="Tahoma"/>
            <family val="2"/>
          </rPr>
          <t>Calculated automatically from responses in step 3</t>
        </r>
        <r>
          <rPr>
            <sz val="9"/>
            <color rgb="FF000000"/>
            <rFont val="Tahoma"/>
            <family val="2"/>
          </rPr>
          <t xml:space="preserve">
</t>
        </r>
      </text>
    </comment>
    <comment ref="J7" authorId="0" shapeId="0" xr:uid="{05D40BD8-43F8-F343-B0E0-D1B7294F1820}">
      <text>
        <r>
          <rPr>
            <sz val="10"/>
            <color rgb="FF000000"/>
            <rFont val="Tahoma"/>
            <family val="2"/>
          </rPr>
          <t>Overall, how resilient is the sanitation technology against the hazardous event or trend?
Low Resilience = Likely to fail or have extended outage;
Medium resilience = reduced sanitation technology performance or temporary outage;
High resilience = continues to function</t>
        </r>
      </text>
    </comment>
    <comment ref="K7" authorId="1" shapeId="0" xr:uid="{196FB85D-0C4B-4E0D-BCEE-66CEE43F9AB8}">
      <text>
        <r>
          <rPr>
            <sz val="9"/>
            <color rgb="FF000000"/>
            <rFont val="Tahoma"/>
            <family val="2"/>
          </rPr>
          <t>Why was the low, medium or high rating given?</t>
        </r>
      </text>
    </comment>
    <comment ref="H8" authorId="2" shapeId="0" xr:uid="{913E4BF8-8871-464B-A587-473A20B5B1BF}">
      <text>
        <t>[Threaded comment]
Your version of Excel allows you to read this threaded comment; however, any edits to it will get removed if the file is opened in a newer version of Excel. Learn more: https://go.microsoft.com/fwlink/?linkid=870924
Comment:
    Hide column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<sst xmlns="http://schemas.openxmlformats.org/spreadsheetml/2006/main" count="918" uniqueCount="425">
  <si>
    <t>Flood</t>
  </si>
  <si>
    <t>Water ingress / inundation</t>
  </si>
  <si>
    <t>Increased levels of receiving waterways</t>
  </si>
  <si>
    <t>Erosion</t>
  </si>
  <si>
    <t>No</t>
  </si>
  <si>
    <t>Yes</t>
  </si>
  <si>
    <t>Oversizing</t>
  </si>
  <si>
    <t>Shapes that distribute</t>
  </si>
  <si>
    <t>Circumvention</t>
  </si>
  <si>
    <t>Sealing and barriers</t>
  </si>
  <si>
    <t>Raising</t>
  </si>
  <si>
    <t>No/low inputs</t>
  </si>
  <si>
    <t>Platform design</t>
  </si>
  <si>
    <t>Redundancy and dive</t>
  </si>
  <si>
    <t>Frangibility</t>
  </si>
  <si>
    <t>Facilitating fast recovery</t>
  </si>
  <si>
    <t>Repair speed</t>
  </si>
  <si>
    <t>Limiting consequences of complete failure</t>
  </si>
  <si>
    <t>Safe disposal</t>
  </si>
  <si>
    <t>Fail-silence</t>
  </si>
  <si>
    <t xml:space="preserve"> </t>
  </si>
  <si>
    <t>Changing Precipitation Patterns</t>
  </si>
  <si>
    <t>High Sea Level</t>
  </si>
  <si>
    <t>Fire Weather</t>
  </si>
  <si>
    <t>Severe Wind</t>
  </si>
  <si>
    <t>Droughts</t>
  </si>
  <si>
    <t>Changing Air Temperature</t>
  </si>
  <si>
    <t>Extreme Heat</t>
  </si>
  <si>
    <t>Portability</t>
  </si>
  <si>
    <t>Adaptability</t>
  </si>
  <si>
    <t>Modular design</t>
  </si>
  <si>
    <t>Signalling</t>
  </si>
  <si>
    <t>Decentralisation</t>
  </si>
  <si>
    <t>Fail-operational</t>
  </si>
  <si>
    <t>Reusable materials</t>
  </si>
  <si>
    <t>relevent List Options</t>
  </si>
  <si>
    <t>Potential Hazard</t>
  </si>
  <si>
    <t>HazardRisk Options</t>
  </si>
  <si>
    <t>Low</t>
  </si>
  <si>
    <t>High</t>
  </si>
  <si>
    <t>Rating Options (2)</t>
  </si>
  <si>
    <t>Rating Options (3)</t>
  </si>
  <si>
    <t>Middle</t>
  </si>
  <si>
    <t>rating overall</t>
  </si>
  <si>
    <t>Summary</t>
  </si>
  <si>
    <t>Used to store drop down list information</t>
  </si>
  <si>
    <t>Description</t>
  </si>
  <si>
    <t>User Relevent</t>
  </si>
  <si>
    <t>ReportOptions</t>
  </si>
  <si>
    <t>Detailed</t>
  </si>
  <si>
    <t>Hazards</t>
  </si>
  <si>
    <t>Scoping</t>
  </si>
  <si>
    <t>Response</t>
  </si>
  <si>
    <t>Accessibility for rapid flaw detection and repair</t>
  </si>
  <si>
    <t>CIDS</t>
  </si>
  <si>
    <r>
      <rPr>
        <b/>
        <sz val="11"/>
        <color rgb="FF000000"/>
        <rFont val="Arial"/>
        <family val="2"/>
      </rPr>
      <t>No/low Inputs</t>
    </r>
    <r>
      <rPr>
        <sz val="10"/>
        <color rgb="FF000000"/>
        <rFont val="Arial"/>
        <family val="2"/>
      </rPr>
      <t xml:space="preserve">
</t>
    </r>
    <r>
      <rPr>
        <sz val="9"/>
        <color rgb="FF000000"/>
        <rFont val="Arial"/>
        <family val="2"/>
      </rPr>
      <t>Technologies that require little or no inputs (e.g. electricity, water, human operators) to operate, thus reducing the need for inputs that could be exposed to disturbances.</t>
    </r>
  </si>
  <si>
    <r>
      <rPr>
        <b/>
        <sz val="11"/>
        <color rgb="FF000000"/>
        <rFont val="Arial"/>
        <family val="2"/>
      </rPr>
      <t>Armouring and Strengthening</t>
    </r>
    <r>
      <rPr>
        <sz val="10"/>
        <color rgb="FF000000"/>
        <rFont val="Arial"/>
        <family val="2"/>
      </rPr>
      <t xml:space="preserve">
</t>
    </r>
    <r>
      <rPr>
        <sz val="9"/>
        <color rgb="FF000000"/>
        <rFont val="Arial"/>
        <family val="2"/>
      </rPr>
      <t>Hardening or stiffening the technology or its components against an expected force.</t>
    </r>
  </si>
  <si>
    <r>
      <rPr>
        <b/>
        <sz val="11"/>
        <color rgb="FF000000"/>
        <rFont val="Arial"/>
        <family val="2"/>
      </rPr>
      <t>Shapes that distribute pressure</t>
    </r>
    <r>
      <rPr>
        <sz val="10"/>
        <color rgb="FF000000"/>
        <rFont val="Arial"/>
        <family val="2"/>
      </rPr>
      <t xml:space="preserve">
</t>
    </r>
    <r>
      <rPr>
        <sz val="9"/>
        <color rgb="FF000000"/>
        <rFont val="Arial"/>
        <family val="2"/>
      </rPr>
      <t>The shape of the technology creates more uniform distribution of stress over its cross-section, thus reducing the risk of failure at weaker points.</t>
    </r>
  </si>
  <si>
    <r>
      <rPr>
        <b/>
        <sz val="11"/>
        <color rgb="FF000000"/>
        <rFont val="Arial"/>
        <family val="2"/>
      </rPr>
      <t>Circumvention</t>
    </r>
    <r>
      <rPr>
        <sz val="10"/>
        <color rgb="FF000000"/>
        <rFont val="Arial"/>
        <family val="2"/>
      </rPr>
      <t xml:space="preserve">
</t>
    </r>
    <r>
      <rPr>
        <sz val="9"/>
        <color rgb="FF000000"/>
        <rFont val="Arial"/>
        <family val="2"/>
      </rPr>
      <t>Technology materials or designs that allow wind or water to pass through so that the stress on the technology or component is reduced.</t>
    </r>
  </si>
  <si>
    <r>
      <rPr>
        <b/>
        <sz val="11"/>
        <color rgb="FF000000"/>
        <rFont val="Arial"/>
        <family val="2"/>
      </rPr>
      <t>Sealing and Barriers</t>
    </r>
    <r>
      <rPr>
        <sz val="10"/>
        <color rgb="FF000000"/>
        <rFont val="Arial"/>
        <family val="2"/>
      </rPr>
      <t xml:space="preserve">
</t>
    </r>
    <r>
      <rPr>
        <sz val="9"/>
        <color rgb="FF000000"/>
        <rFont val="Arial"/>
        <family val="2"/>
      </rPr>
      <t>Integrating seals, barriers or other forms of protection into the technology to protect critical components or processes from being disrupted by a hazard.</t>
    </r>
  </si>
  <si>
    <r>
      <rPr>
        <b/>
        <sz val="11"/>
        <color rgb="FF000000"/>
        <rFont val="Arial"/>
        <family val="2"/>
      </rPr>
      <t>Modular design</t>
    </r>
    <r>
      <rPr>
        <sz val="10"/>
        <color rgb="FF000000"/>
        <rFont val="Arial"/>
        <family val="2"/>
      </rPr>
      <t xml:space="preserve">
</t>
    </r>
    <r>
      <rPr>
        <sz val="9"/>
        <color rgb="FF000000"/>
        <rFont val="Arial"/>
        <family val="2"/>
      </rPr>
      <t>Additional modules can be added (plug-in type model) or removed to increase or decrease capacity of the system to accommodate variability in demand and environmental conditions.</t>
    </r>
  </si>
  <si>
    <r>
      <rPr>
        <b/>
        <sz val="11"/>
        <color rgb="FF000000"/>
        <rFont val="Arial"/>
        <family val="2"/>
      </rPr>
      <t>Platform design</t>
    </r>
    <r>
      <rPr>
        <sz val="10"/>
        <color rgb="FF000000"/>
        <rFont val="Arial"/>
        <family val="2"/>
      </rPr>
      <t xml:space="preserve">
</t>
    </r>
    <r>
      <rPr>
        <sz val="9"/>
        <color rgb="FF000000"/>
        <rFont val="Arial"/>
        <family val="2"/>
      </rPr>
      <t>The technology shares components with other similar technologies, which makes it easier to transition between technologies to suit customer demand or prevailing environmental conditions.</t>
    </r>
  </si>
  <si>
    <r>
      <rPr>
        <b/>
        <sz val="11"/>
        <color rgb="FF000000"/>
        <rFont val="Arial"/>
        <family val="2"/>
      </rPr>
      <t>Redundancy and diversity</t>
    </r>
    <r>
      <rPr>
        <sz val="10"/>
        <color rgb="FF000000"/>
        <rFont val="Arial"/>
        <family val="2"/>
      </rPr>
      <t xml:space="preserve">
</t>
    </r>
    <r>
      <rPr>
        <sz val="9"/>
        <color rgb="FF000000"/>
        <rFont val="Arial"/>
        <family val="2"/>
      </rPr>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r>
  </si>
  <si>
    <r>
      <rPr>
        <b/>
        <sz val="11"/>
        <color rgb="FF000000"/>
        <rFont val="Arial"/>
        <family val="2"/>
      </rPr>
      <t>Signalling</t>
    </r>
    <r>
      <rPr>
        <sz val="10"/>
        <color rgb="FF000000"/>
        <rFont val="Arial"/>
        <family val="2"/>
      </rPr>
      <t xml:space="preserve">
</t>
    </r>
    <r>
      <rPr>
        <sz val="9"/>
        <color rgb="FF000000"/>
        <rFont val="Arial"/>
        <family val="2"/>
      </rPr>
      <t>The technology, by the nature of how it functions or by intentional design, has a way of signalling to operators or users when the technology requires modification to prevent failure or to enhance its performance.</t>
    </r>
  </si>
  <si>
    <r>
      <rPr>
        <b/>
        <sz val="11"/>
        <color rgb="FF000000"/>
        <rFont val="Arial"/>
        <family val="2"/>
      </rPr>
      <t>Frangibility</t>
    </r>
    <r>
      <rPr>
        <sz val="10"/>
        <color rgb="FF000000"/>
        <rFont val="Arial"/>
        <family val="2"/>
      </rPr>
      <t xml:space="preserve">
</t>
    </r>
    <r>
      <rPr>
        <sz val="9"/>
        <color rgb="FF000000"/>
        <rFont val="Arial"/>
        <family val="2"/>
      </rPr>
      <t>Less essential components of the technology are designed to breakaway or fail when exposed to a certain level of pressure to protect more essential components of the technology.</t>
    </r>
  </si>
  <si>
    <r>
      <rPr>
        <b/>
        <sz val="11"/>
        <color rgb="FF000000"/>
        <rFont val="Arial"/>
        <family val="2"/>
      </rPr>
      <t>Fail-operational</t>
    </r>
    <r>
      <rPr>
        <sz val="10"/>
        <color rgb="FF000000"/>
        <rFont val="Arial"/>
        <family val="2"/>
      </rPr>
      <t xml:space="preserve">
</t>
    </r>
    <r>
      <rPr>
        <sz val="9"/>
        <color rgb="FF000000"/>
        <rFont val="Arial"/>
        <family val="2"/>
      </rPr>
      <t>The technology can still provide its overall function even when components or processes are damaged/compromised and undergoing repair.</t>
    </r>
  </si>
  <si>
    <r>
      <rPr>
        <b/>
        <sz val="11"/>
        <color rgb="FF000000"/>
        <rFont val="Arial"/>
        <family val="2"/>
      </rPr>
      <t>Safe disposal</t>
    </r>
    <r>
      <rPr>
        <sz val="10"/>
        <color rgb="FF000000"/>
        <rFont val="Arial"/>
        <family val="2"/>
      </rPr>
      <t xml:space="preserve">
</t>
    </r>
    <r>
      <rPr>
        <sz val="9"/>
        <color rgb="FF000000"/>
        <rFont val="Arial"/>
        <family val="2"/>
      </rPr>
      <t>The materials from the destroyed technology are not toxic to the environment or public health and can be safely disposed.</t>
    </r>
  </si>
  <si>
    <r>
      <rPr>
        <b/>
        <sz val="11"/>
        <color rgb="FF000000"/>
        <rFont val="Arial"/>
        <family val="2"/>
      </rPr>
      <t>Reusable materials</t>
    </r>
    <r>
      <rPr>
        <sz val="10"/>
        <color rgb="FF000000"/>
        <rFont val="Arial"/>
        <family val="2"/>
      </rPr>
      <t xml:space="preserve">
</t>
    </r>
    <r>
      <rPr>
        <sz val="9"/>
        <color rgb="FF000000"/>
        <rFont val="Arial"/>
        <family val="2"/>
      </rPr>
      <t>The materials from the destroyed technology can be reused for other purposes (including rebuilding the technology).</t>
    </r>
  </si>
  <si>
    <r>
      <rPr>
        <b/>
        <sz val="11"/>
        <color rgb="FF000000"/>
        <rFont val="Arial"/>
        <family val="2"/>
      </rPr>
      <t>Repair speed</t>
    </r>
    <r>
      <rPr>
        <sz val="10"/>
        <color rgb="FF000000"/>
        <rFont val="Arial"/>
        <family val="2"/>
      </rPr>
      <t xml:space="preserve">
</t>
    </r>
    <r>
      <rPr>
        <sz val="9"/>
        <color rgb="FF000000"/>
        <rFont val="Arial"/>
        <family val="2"/>
      </rPr>
      <t>The technology, its components, processes, or its operations can be quickly replaced, rebuilt or restored if destroyed or disrupted so that performance downtime or degradation is minimised.</t>
    </r>
  </si>
  <si>
    <r>
      <rPr>
        <b/>
        <sz val="11"/>
        <color rgb="FF000000"/>
        <rFont val="Arial"/>
        <family val="2"/>
      </rPr>
      <t>Hybridising</t>
    </r>
    <r>
      <rPr>
        <sz val="10"/>
        <color rgb="FF000000"/>
        <rFont val="Arial"/>
        <family val="2"/>
      </rPr>
      <t xml:space="preserve">
</t>
    </r>
    <r>
      <rPr>
        <sz val="9"/>
        <color rgb="FF000000"/>
        <rFont val="Arial"/>
        <family val="2"/>
      </rPr>
      <t>Unrelated systems or technologies share the same physical space or structure, thus saving space and enhancing opportunities for reciprocity.</t>
    </r>
  </si>
  <si>
    <r>
      <rPr>
        <b/>
        <sz val="11"/>
        <color rgb="FF000000"/>
        <rFont val="Arial"/>
        <family val="2"/>
      </rPr>
      <t>Transformative capacity</t>
    </r>
    <r>
      <rPr>
        <sz val="10"/>
        <color rgb="FF000000"/>
        <rFont val="Arial"/>
        <family val="2"/>
      </rPr>
      <t xml:space="preserve">
</t>
    </r>
    <r>
      <rPr>
        <sz val="9"/>
        <color rgb="FF000000"/>
        <rFont val="Arial"/>
        <family val="2"/>
      </rPr>
      <t>The technology provides an additional service(s) beyond its usual intent that further aids resilient communities.</t>
    </r>
  </si>
  <si>
    <t>Reduced inflow volume</t>
  </si>
  <si>
    <t xml:space="preserve">Rise in groundwater level and/or groundwater saturation </t>
  </si>
  <si>
    <t xml:space="preserve">Temperature driven expansion/contraction of materials (forces on infrastructure) </t>
  </si>
  <si>
    <t>Uprooting of trees (impact on buried structures)</t>
  </si>
  <si>
    <t>Variable inflow velocity</t>
  </si>
  <si>
    <t>Variable inflow volume</t>
  </si>
  <si>
    <t>Wind force on sanitation structures</t>
  </si>
  <si>
    <t>Wind-blown debris (e.g. trees)</t>
  </si>
  <si>
    <t>Biological organisms exposed to saltwater</t>
  </si>
  <si>
    <t>Changes in pathogen concentration in inflow</t>
  </si>
  <si>
    <t>Expansion / contraction of soils (forces on buried structures)</t>
  </si>
  <si>
    <t>Increased inflow velocity</t>
  </si>
  <si>
    <t>Increased inflow volume</t>
  </si>
  <si>
    <t>Rapid change in inflow temperature</t>
  </si>
  <si>
    <t>Reduced dilution capacity of receiving waters</t>
  </si>
  <si>
    <t>Reduced inflow velocity</t>
  </si>
  <si>
    <t>Disrupted access to ST for O&amp;M</t>
  </si>
  <si>
    <t>Disrupted electricity inputs to ST</t>
  </si>
  <si>
    <t>Disrupted water inputs to ST</t>
  </si>
  <si>
    <t>Corrosion</t>
  </si>
  <si>
    <t>Exposure to flames</t>
  </si>
  <si>
    <t>Force of flood waters</t>
  </si>
  <si>
    <t>Changing precipitation patterns</t>
  </si>
  <si>
    <t>High sea level</t>
  </si>
  <si>
    <t>Fire weather</t>
  </si>
  <si>
    <t>Severe wind</t>
  </si>
  <si>
    <t>Changing air temperature</t>
  </si>
  <si>
    <t>Extreme heat</t>
  </si>
  <si>
    <t>Code</t>
  </si>
  <si>
    <t>A1</t>
  </si>
  <si>
    <t>B1</t>
  </si>
  <si>
    <t>C1</t>
  </si>
  <si>
    <t>A3</t>
  </si>
  <si>
    <t>A4</t>
  </si>
  <si>
    <t>A5</t>
  </si>
  <si>
    <t>A6</t>
  </si>
  <si>
    <t>A7</t>
  </si>
  <si>
    <t>A8</t>
  </si>
  <si>
    <t>A9</t>
  </si>
  <si>
    <t>A10</t>
  </si>
  <si>
    <t>A12</t>
  </si>
  <si>
    <t>A13</t>
  </si>
  <si>
    <t>A14</t>
  </si>
  <si>
    <t>A16</t>
  </si>
  <si>
    <t>A17</t>
  </si>
  <si>
    <t>A18</t>
  </si>
  <si>
    <t>A19</t>
  </si>
  <si>
    <t>A20</t>
  </si>
  <si>
    <t>A21</t>
  </si>
  <si>
    <t>A22</t>
  </si>
  <si>
    <t>B2</t>
  </si>
  <si>
    <t>B3</t>
  </si>
  <si>
    <t>B9</t>
  </si>
  <si>
    <t>B10</t>
  </si>
  <si>
    <t>C2</t>
  </si>
  <si>
    <t>C3</t>
  </si>
  <si>
    <t>C4</t>
  </si>
  <si>
    <t>ToggleHazards</t>
  </si>
  <si>
    <t>Armouring and Strengthening</t>
  </si>
  <si>
    <t>Reciprocity</t>
  </si>
  <si>
    <t>Hybridising</t>
  </si>
  <si>
    <t>Transformative capacity</t>
  </si>
  <si>
    <t>4. Containing failures</t>
  </si>
  <si>
    <t>1. Avoiding exposure to hazards</t>
  </si>
  <si>
    <t>2. Withstanding exposure to hazards</t>
  </si>
  <si>
    <t>3.Enabling flexibility</t>
  </si>
  <si>
    <t>Moderate</t>
  </si>
  <si>
    <t>OverallScore</t>
  </si>
  <si>
    <t>Moderate-High</t>
  </si>
  <si>
    <t>Rel</t>
  </si>
  <si>
    <t>Score1</t>
  </si>
  <si>
    <t>Q1</t>
  </si>
  <si>
    <t>Low-Moderate</t>
  </si>
  <si>
    <t>Comment</t>
  </si>
  <si>
    <t>Relevant</t>
  </si>
  <si>
    <t>Name</t>
  </si>
  <si>
    <t>Count</t>
  </si>
  <si>
    <t>Burying</t>
  </si>
  <si>
    <t>String</t>
  </si>
  <si>
    <t>Hazard Score - Low</t>
  </si>
  <si>
    <t>Hazard Score - Moderate</t>
  </si>
  <si>
    <t>Hazard Score - High</t>
  </si>
  <si>
    <t>Comments</t>
  </si>
  <si>
    <t>Score</t>
  </si>
  <si>
    <t>Characteristics</t>
  </si>
  <si>
    <t>Low %</t>
  </si>
  <si>
    <t>Moderate %</t>
  </si>
  <si>
    <t>High %</t>
  </si>
  <si>
    <t>Landslides (forces, burying)</t>
  </si>
  <si>
    <t>Example:
Floods</t>
  </si>
  <si>
    <t xml:space="preserve">The superstructure, combined with the raising of the ST 1 metre above ground, and sealed storage tanks supports the ST resilience to floods. However, the ST is not off-grid so functionality could be temporarily impacted in floods. </t>
  </si>
  <si>
    <t>Holding tank non-return prevents backflow into toilet in flood. Sealable treatment area door prevents flood inundation. Electrics are sealed and can sustain temporary flood inundation. Roof eaves &amp; insulation mitigate high temps by protecting equipment and supporting thermal comfort in toilet area.</t>
  </si>
  <si>
    <t>Changes to biological processes or biota (e.g. algal blooms or pond drying impacting biological treatment)</t>
  </si>
  <si>
    <t>Low impact</t>
  </si>
  <si>
    <t>Overall resilience self-assessment</t>
  </si>
  <si>
    <t>Disrupted FS/excreta collection and delivery</t>
  </si>
  <si>
    <t>Technology is raised on a slab, design guidelines recommend placing away from floodplain. Armouring is incorporated as superstructure is a shipping container mitigating flood water force and inundation. Unsealed electrical equipment remains vulnerable to inundation.</t>
  </si>
  <si>
    <t>Low Impact</t>
  </si>
  <si>
    <t>Moderate Impact</t>
  </si>
  <si>
    <t>High Impact</t>
  </si>
  <si>
    <t>Score Weight</t>
  </si>
  <si>
    <t>Overall</t>
  </si>
  <si>
    <t>resilience rating</t>
  </si>
  <si>
    <t>Low Resilience</t>
  </si>
  <si>
    <t>Medium Resilience</t>
  </si>
  <si>
    <t>High Resilience</t>
  </si>
  <si>
    <t>AutoCalc</t>
  </si>
  <si>
    <t>SelfAssessment</t>
  </si>
  <si>
    <t>Q2</t>
  </si>
  <si>
    <t>Details</t>
  </si>
  <si>
    <t>Example</t>
  </si>
  <si>
    <t xml:space="preserve">💦 </t>
  </si>
  <si>
    <t>Assessment Team</t>
  </si>
  <si>
    <t>B. Assessment date</t>
  </si>
  <si>
    <t>A. Technology name</t>
  </si>
  <si>
    <t>C. Technology description</t>
  </si>
  <si>
    <t>E. Included components</t>
  </si>
  <si>
    <t>F. Excluded components</t>
  </si>
  <si>
    <t xml:space="preserve">🌧 </t>
  </si>
  <si>
    <t>🔥</t>
  </si>
  <si>
    <t xml:space="preserve">🌵 </t>
  </si>
  <si>
    <t>🌡</t>
  </si>
  <si>
    <t>⁉</t>
  </si>
  <si>
    <t>💦  Floods</t>
  </si>
  <si>
    <t>🔥 Fire weather</t>
  </si>
  <si>
    <t>🌬 Severe wind</t>
  </si>
  <si>
    <t>🌵 Drought</t>
  </si>
  <si>
    <t>🌡 Changing air temperature</t>
  </si>
  <si>
    <t>🥵 Extreme heat</t>
  </si>
  <si>
    <t>🌧 Changing precipitation patterns</t>
  </si>
  <si>
    <t>Column1</t>
  </si>
  <si>
    <t>Column2</t>
  </si>
  <si>
    <t>Column3</t>
  </si>
  <si>
    <t>Column4</t>
  </si>
  <si>
    <t>Icon</t>
  </si>
  <si>
    <t>Column10</t>
  </si>
  <si>
    <t>Column13</t>
  </si>
  <si>
    <t>Sanitation Technology Climate Resilience Summary</t>
  </si>
  <si>
    <t>Hazards Impact</t>
  </si>
  <si>
    <t>Justification</t>
  </si>
  <si>
    <t>🏝High sea level</t>
  </si>
  <si>
    <t>Potential Improvements</t>
  </si>
  <si>
    <t>☀️</t>
  </si>
  <si>
    <t>☀️ Extreme heat</t>
  </si>
  <si>
    <t>💨</t>
  </si>
  <si>
    <t>🌊</t>
  </si>
  <si>
    <t>✅ Yes</t>
  </si>
  <si>
    <r>
      <rPr>
        <b/>
        <sz val="11"/>
        <color rgb="FF000000"/>
        <rFont val="Arial"/>
        <family val="2"/>
      </rPr>
      <t>Raising</t>
    </r>
    <r>
      <rPr>
        <sz val="10"/>
        <color rgb="FF000000"/>
        <rFont val="Arial"/>
        <family val="2"/>
      </rPr>
      <t xml:space="preserve">
</t>
    </r>
    <r>
      <rPr>
        <sz val="9"/>
        <color rgb="FF000000"/>
        <rFont val="Arial"/>
        <family val="2"/>
      </rPr>
      <t>Raising the technology or critical components so they are less likely to come into contact with floodwater/groundwater.</t>
    </r>
  </si>
  <si>
    <r>
      <rPr>
        <b/>
        <sz val="11"/>
        <rFont val="Arial"/>
        <family val="2"/>
      </rPr>
      <t>Burying</t>
    </r>
    <r>
      <rPr>
        <sz val="10"/>
        <rFont val="Arial"/>
        <family val="2"/>
      </rPr>
      <t xml:space="preserve">
</t>
    </r>
    <r>
      <rPr>
        <sz val="9"/>
        <rFont val="Arial"/>
        <family val="2"/>
      </rPr>
      <t xml:space="preserve">Installing the technology or its components underground so that they are less likely to come into contact with wind pressure, fire, or force of flooding.
</t>
    </r>
  </si>
  <si>
    <t>💨 Severe wind</t>
  </si>
  <si>
    <t>🌊 High sea level</t>
  </si>
  <si>
    <t xml:space="preserve">Relevant Design Feature </t>
  </si>
  <si>
    <r>
      <t xml:space="preserve">6. Facilitating fast recovery
</t>
    </r>
    <r>
      <rPr>
        <sz val="12"/>
        <color rgb="FF3F50B5"/>
        <rFont val="Arial"/>
        <family val="2"/>
      </rPr>
      <t>Features that enable the ST to be quickly rebuilt or restored if they are damaged, disrupted or destroyed by a climate hazard.</t>
    </r>
  </si>
  <si>
    <r>
      <t xml:space="preserve">5. Limiting consequences of complete failure
</t>
    </r>
    <r>
      <rPr>
        <sz val="12"/>
        <color rgb="FF3F50B5"/>
        <rFont val="Arial"/>
        <family val="2"/>
      </rPr>
      <t>Features that minimise the negative health and environmental consequences of complete ST failure due to a climate hazard.</t>
    </r>
  </si>
  <si>
    <t>⛔️ No</t>
  </si>
  <si>
    <r>
      <t xml:space="preserve">Sealing and barriers
</t>
    </r>
    <r>
      <rPr>
        <sz val="10"/>
        <color theme="2"/>
        <rFont val="Arial (Body)"/>
      </rPr>
      <t>Integrating seals, barriers or other forms of protection into the technology to protect critical components or processes from being disrupted by a hazard.</t>
    </r>
  </si>
  <si>
    <t>Select One</t>
  </si>
  <si>
    <t>Detail</t>
  </si>
  <si>
    <t>Hazardous events &amp; trends</t>
  </si>
  <si>
    <t>Hazardous events &amp; trends (HET)</t>
  </si>
  <si>
    <t>HET Characteristics</t>
  </si>
  <si>
    <t>Selected HETs</t>
  </si>
  <si>
    <t>Is the HET relevant?</t>
  </si>
  <si>
    <t>In floods, the absence of sealing in the toilet areas poses a risk of floodwater ingress into treatment system.</t>
  </si>
  <si>
    <t>A sealable door to the toilet area could be installed at low cost to seal this area against flood inundation.</t>
  </si>
  <si>
    <r>
      <rPr>
        <b/>
        <sz val="11"/>
        <color rgb="FF000000"/>
        <rFont val="Arial"/>
        <family val="2"/>
      </rPr>
      <t>Oversizing</t>
    </r>
    <r>
      <rPr>
        <sz val="10"/>
        <color rgb="FF000000"/>
        <rFont val="Arial"/>
        <family val="2"/>
      </rPr>
      <t xml:space="preserve">
</t>
    </r>
    <r>
      <rPr>
        <sz val="9"/>
        <color rgb="FF000000"/>
        <rFont val="Arial"/>
        <family val="2"/>
      </rPr>
      <t>Increasing the tolerance or capacity of the technology or its component so that it can accommodate extreme conditions,  projected changes in conditions, or changes in number of users.</t>
    </r>
  </si>
  <si>
    <r>
      <t>3. Enabling flexibility
F</t>
    </r>
    <r>
      <rPr>
        <sz val="12"/>
        <color rgb="FF3F50B5"/>
        <rFont val="Arial"/>
        <family val="2"/>
      </rPr>
      <t>eatures that enable the ST to be adapted or reconfigured, or have its operation changed, in order to continue providing services when exposed to climate hazards.</t>
    </r>
  </si>
  <si>
    <r>
      <rPr>
        <b/>
        <sz val="11"/>
        <color rgb="FF000000"/>
        <rFont val="Arial"/>
        <family val="2"/>
      </rPr>
      <t>Adaptability</t>
    </r>
    <r>
      <rPr>
        <sz val="10"/>
        <color rgb="FF000000"/>
        <rFont val="Arial"/>
        <family val="2"/>
      </rPr>
      <t xml:space="preserve">
</t>
    </r>
    <r>
      <rPr>
        <sz val="9"/>
        <color rgb="FF000000"/>
        <rFont val="Arial"/>
        <family val="2"/>
      </rPr>
      <t>The technology design can be adapted or upgraded easily to function better under the changing environmental conditions (e.g. increasingly wet or increasingly dry conditions).</t>
    </r>
  </si>
  <si>
    <r>
      <rPr>
        <b/>
        <sz val="11"/>
        <color rgb="FF000000"/>
        <rFont val="Arial"/>
        <family val="2"/>
      </rPr>
      <t>Decentralisation</t>
    </r>
    <r>
      <rPr>
        <sz val="10"/>
        <color rgb="FF000000"/>
        <rFont val="Arial"/>
        <family val="2"/>
      </rPr>
      <t xml:space="preserve">
</t>
    </r>
    <r>
      <rPr>
        <sz val="9"/>
        <color rgb="FF000000"/>
        <rFont val="Arial"/>
        <family val="2"/>
      </rPr>
      <t>Failures in decentralised systems (small-scale individual or clustered systems) are isolated locally which prevents failures from cascading and causing outages to many users/households.</t>
    </r>
  </si>
  <si>
    <r>
      <rPr>
        <b/>
        <sz val="11"/>
        <color rgb="FF000000"/>
        <rFont val="Arial"/>
        <family val="2"/>
      </rPr>
      <t>Accessibility for rapid flaw detection</t>
    </r>
    <r>
      <rPr>
        <sz val="10"/>
        <color rgb="FF000000"/>
        <rFont val="Arial"/>
        <family val="2"/>
      </rPr>
      <t xml:space="preserve">
</t>
    </r>
    <r>
      <rPr>
        <sz val="9"/>
        <color rgb="FF000000"/>
        <rFont val="Arial"/>
        <family val="2"/>
      </rPr>
      <t>Components or processes of the technology can be easily accessed for examination.</t>
    </r>
  </si>
  <si>
    <r>
      <rPr>
        <b/>
        <sz val="11"/>
        <rFont val="Arial"/>
        <family val="2"/>
      </rPr>
      <t>Reciprocity</t>
    </r>
    <r>
      <rPr>
        <sz val="10"/>
        <rFont val="Arial"/>
        <family val="2"/>
      </rPr>
      <t xml:space="preserve">
</t>
    </r>
    <r>
      <rPr>
        <sz val="9"/>
        <rFont val="Arial"/>
        <family val="2"/>
      </rPr>
      <t>By providing its service, the technology produces outputs that build resilience in, or aid, another on-site or off-site system.</t>
    </r>
  </si>
  <si>
    <t>Relevant?</t>
  </si>
  <si>
    <t>Impact Rating</t>
  </si>
  <si>
    <r>
      <rPr>
        <b/>
        <i/>
        <sz val="11"/>
        <color theme="0"/>
        <rFont val="Arial"/>
        <family val="2"/>
      </rPr>
      <t xml:space="preserve">Step 5: </t>
    </r>
    <r>
      <rPr>
        <i/>
        <sz val="11"/>
        <color theme="0"/>
        <rFont val="Arial"/>
        <family val="2"/>
      </rPr>
      <t>Consider the overall resilience of your technology to each hazardous event and trend.</t>
    </r>
  </si>
  <si>
    <t>Resilience rating</t>
  </si>
  <si>
    <t>Hazardous event or trend</t>
  </si>
  <si>
    <t>Design feature integrated?</t>
  </si>
  <si>
    <t>Climate related risks</t>
  </si>
  <si>
    <t>All hazards for relevant HETs</t>
  </si>
  <si>
    <t>Impactful Hazards</t>
  </si>
  <si>
    <t>Design Feature Strengths</t>
  </si>
  <si>
    <t>Raising the technology or critical components so they are less likely to come into contact with floodwater/groundwater.</t>
  </si>
  <si>
    <t>Installing the technology or its components underground so that they are less likely to come into contact with wind pressure, fire, or force of flooding.</t>
  </si>
  <si>
    <t>The ability of the technology to be easily moved to a new location to avoid exposure to a disturbance.</t>
  </si>
  <si>
    <t>Technologies that require little or no inputs (e.g. electricity, water, human operators) to operate, thus reducing the need for inputs that could be exposed to disturbances.</t>
  </si>
  <si>
    <t>Blurb</t>
  </si>
  <si>
    <t>Hardening or stiffening the technology or its components against an expected force.</t>
  </si>
  <si>
    <t>Increasing the tolerance or capacity of the technology or its component so that it can accommodate extreme conditions,  projected changes in conditions, or changes in number of users.</t>
  </si>
  <si>
    <t>The shape of the technology creates more uniform distribution of stress over its cross-section, thus reducing the risk of failure at weaker points.</t>
  </si>
  <si>
    <t>Technology materials or designs that allow wind or water to pass through so that the stress on the technology or component is reduced.</t>
  </si>
  <si>
    <t>Integrating seals, barriers or other forms of protection into the technology to protect critical components or processes from being disrupted by a hazard.</t>
  </si>
  <si>
    <t>The technology design can be adapted or upgraded easily to function better under the changing environmental conditions (e.g. increasingly wet or increasingly dry conditions).</t>
  </si>
  <si>
    <t>Additional modules can be added (plug-in type model) or removed to increase or decrease capacity of the system to accommodate variability in demand and environmental conditions.</t>
  </si>
  <si>
    <t>The technology shares components with other similar technologies, which makes it easier to transition between technologies to suit customer demand or prevailing environmental conditions.</t>
  </si>
  <si>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</si>
  <si>
    <t>The technology, by the nature of how it functions or by intentional design, has a way of signalling to operators or users when the technology requires modification to prevent failure or to enhance its performance.</t>
  </si>
  <si>
    <t>Less essential components of the technology are designed to breakaway or fail when exposed to a certain level of pressure to protect more essential components of the technology.</t>
  </si>
  <si>
    <t>The technology can still provide its overall function even when components or processes are damaged/compromised and undergoing repair.</t>
  </si>
  <si>
    <t>Failures in decentralised systems (small-scale individual or clustered systems) are isolated locally which prevents failures from cascading and causing outages to many users/households.</t>
  </si>
  <si>
    <t>The materials from the destroyed technology are not toxic to the environment or public health and can be safely disposed.</t>
  </si>
  <si>
    <t>The materials from the destroyed technology can be reused for other purposes (including rebuilding the technology).</t>
  </si>
  <si>
    <t>If the technology fails so that it cannot be used anymore, no failure will pose a continual health risk to the public or the environment beyond making the technology unavailable for use.</t>
  </si>
  <si>
    <t>The technology, its components, processes, or its operations can be quickly replaced, rebuilt or restored if destroyed or disrupted so that performance downtime or degradation is minimised.</t>
  </si>
  <si>
    <t>Components or processes of the technology can be easily accessed for examination.</t>
  </si>
  <si>
    <t>Providing benefits beyond resilience</t>
  </si>
  <si>
    <t>By providing its service, the technology produces outputs that build resilience in, or aid, another on-site or off-site system.</t>
  </si>
  <si>
    <t>Unrelated systems or technologies share the same physical space or structure, thus saving space and enhancing opportunities for reciprocity.</t>
  </si>
  <si>
    <t>The technology provides an additional service(s) beyond its usual intent that further aids resilient communities.</t>
  </si>
  <si>
    <t>Integrated Design Feature</t>
  </si>
  <si>
    <t>Show In Strengths</t>
  </si>
  <si>
    <t>Show In Improvements</t>
  </si>
  <si>
    <t>Improvements</t>
  </si>
  <si>
    <t>Climate risks</t>
  </si>
  <si>
    <t>Design Feature Improvements</t>
  </si>
  <si>
    <t>Climate Related Risks</t>
  </si>
  <si>
    <t>Increased flow velocity</t>
  </si>
  <si>
    <t>💦</t>
  </si>
  <si>
    <t>🌧</t>
  </si>
  <si>
    <t>🌵</t>
  </si>
  <si>
    <t>💦🌊</t>
  </si>
  <si>
    <t xml:space="preserve">Design Features </t>
  </si>
  <si>
    <t>Step 4: Assess the extent to which the sanitation technology incorporates resilient design features.</t>
  </si>
  <si>
    <t>Column32</t>
  </si>
  <si>
    <r>
      <rPr>
        <b/>
        <i/>
        <sz val="14"/>
        <color theme="0"/>
        <rFont val="Arial"/>
        <family val="2"/>
      </rPr>
      <t xml:space="preserve">Step 2: </t>
    </r>
    <r>
      <rPr>
        <i/>
        <sz val="14"/>
        <color theme="0"/>
        <rFont val="Arial"/>
        <family val="2"/>
      </rPr>
      <t>Indicate what climate related hazardous events or trends are relevant to your assessment.</t>
    </r>
  </si>
  <si>
    <r>
      <rPr>
        <b/>
        <i/>
        <sz val="14"/>
        <color theme="0"/>
        <rFont val="Arial"/>
        <family val="2"/>
      </rPr>
      <t xml:space="preserve">Step 3: </t>
    </r>
    <r>
      <rPr>
        <i/>
        <sz val="14"/>
        <color theme="0"/>
        <rFont val="Arial"/>
        <family val="2"/>
      </rPr>
      <t xml:space="preserve">Assess the level of impact that specific hazards are likely to have on the sanitation technology.
</t>
    </r>
  </si>
  <si>
    <r>
      <rPr>
        <b/>
        <i/>
        <sz val="14"/>
        <color theme="0"/>
        <rFont val="Arial"/>
        <family val="2"/>
      </rPr>
      <t xml:space="preserve">Step 1: </t>
    </r>
    <r>
      <rPr>
        <i/>
        <sz val="14"/>
        <color theme="0"/>
        <rFont val="Arial"/>
        <family val="2"/>
      </rPr>
      <t>Define what parts of the sanitation technology are being included in the assessment.</t>
    </r>
  </si>
  <si>
    <t>Landslides</t>
  </si>
  <si>
    <t>Expansion / contraction of soils</t>
  </si>
  <si>
    <t>Temperature driven expansion/contraction of materials</t>
  </si>
  <si>
    <t>Uprooting by fallen trees</t>
  </si>
  <si>
    <t>Wind-blown debris</t>
  </si>
  <si>
    <t>Variation in inflow or storage temperature</t>
  </si>
  <si>
    <r>
      <rPr>
        <b/>
        <sz val="11"/>
        <color rgb="FF000000"/>
        <rFont val="Arial"/>
        <family val="2"/>
      </rPr>
      <t>Portability</t>
    </r>
    <r>
      <rPr>
        <sz val="10"/>
        <color rgb="FF000000"/>
        <rFont val="Arial"/>
        <family val="2"/>
      </rPr>
      <t xml:space="preserve">
</t>
    </r>
    <r>
      <rPr>
        <sz val="9"/>
        <color rgb="FF000000"/>
        <rFont val="Arial"/>
        <family val="2"/>
      </rPr>
      <t>The ability of the technology to be easily moved to a new location to avoid exposure to a disturbance (Conversely, portability can also enable the technology to be easily deployed to emergency contexts).</t>
    </r>
  </si>
  <si>
    <r>
      <rPr>
        <b/>
        <sz val="11"/>
        <rFont val="Arial"/>
        <family val="2"/>
      </rPr>
      <t>Fail-silence</t>
    </r>
    <r>
      <rPr>
        <sz val="10"/>
        <rFont val="Arial"/>
        <family val="2"/>
      </rPr>
      <t xml:space="preserve">
</t>
    </r>
    <r>
      <rPr>
        <sz val="9"/>
        <rFont val="Arial"/>
        <family val="2"/>
      </rPr>
      <t>The technology stops operating if a critical failure is detected, hence preventing the release of human waste into the environment.</t>
    </r>
  </si>
  <si>
    <t>C5</t>
  </si>
  <si>
    <t>Disrupted access to ST for major repairs</t>
  </si>
  <si>
    <t>D. Assessed location or context</t>
  </si>
  <si>
    <r>
      <rPr>
        <b/>
        <sz val="11"/>
        <color theme="1"/>
        <rFont val="Arial"/>
        <family val="2"/>
      </rPr>
      <t>Flood</t>
    </r>
    <r>
      <rPr>
        <b/>
        <sz val="10"/>
        <color theme="1"/>
        <rFont val="Arial"/>
        <family val="2"/>
      </rPr>
      <t xml:space="preserve">
</t>
    </r>
    <r>
      <rPr>
        <sz val="9"/>
        <color theme="1"/>
        <rFont val="Arial"/>
        <family val="2"/>
      </rPr>
      <t>Fluvial flooding (overflowing of a river or other water body) and pluvial flooding (precipitation intensity exceeds drainage capacity)</t>
    </r>
  </si>
  <si>
    <r>
      <rPr>
        <b/>
        <sz val="11"/>
        <color theme="1"/>
        <rFont val="Arial"/>
        <family val="2"/>
      </rPr>
      <t>Changing precipitation patterns</t>
    </r>
    <r>
      <rPr>
        <b/>
        <sz val="10"/>
        <color theme="1"/>
        <rFont val="Arial"/>
        <family val="2"/>
      </rPr>
      <t xml:space="preserve">
</t>
    </r>
    <r>
      <rPr>
        <sz val="9"/>
        <color theme="1"/>
        <rFont val="Arial"/>
        <family val="2"/>
      </rPr>
      <t>Increased variability in seasonal precipitation patterns and inter-annual precipitation</t>
    </r>
  </si>
  <si>
    <r>
      <rPr>
        <b/>
        <sz val="11"/>
        <color theme="1"/>
        <rFont val="Arial"/>
        <family val="2"/>
      </rPr>
      <t>High sea level</t>
    </r>
    <r>
      <rPr>
        <b/>
        <sz val="10"/>
        <color theme="1"/>
        <rFont val="Arial"/>
        <family val="2"/>
      </rPr>
      <t xml:space="preserve">
</t>
    </r>
    <r>
      <rPr>
        <sz val="9"/>
        <color theme="1"/>
        <rFont val="Arial"/>
        <family val="2"/>
      </rPr>
      <t>Permanent inundation from sea level rise or temporary seawater intrusion/coastal flooding due to sea level rise, storm surge, high tide or wave setup</t>
    </r>
  </si>
  <si>
    <r>
      <rPr>
        <b/>
        <sz val="11"/>
        <color theme="1"/>
        <rFont val="Arial"/>
        <family val="2"/>
      </rPr>
      <t>Fire weather</t>
    </r>
    <r>
      <rPr>
        <b/>
        <sz val="10"/>
        <color theme="1"/>
        <rFont val="Arial"/>
        <family val="2"/>
      </rPr>
      <t xml:space="preserve">
</t>
    </r>
    <r>
      <rPr>
        <sz val="9"/>
        <color theme="1"/>
        <rFont val="Arial"/>
        <family val="2"/>
      </rPr>
      <t>Weather conditions (temperature, soil moisture, humidity, and wind) that trigger and sustain fires</t>
    </r>
  </si>
  <si>
    <r>
      <rPr>
        <b/>
        <sz val="11"/>
        <color theme="1"/>
        <rFont val="Arial"/>
        <family val="2"/>
      </rPr>
      <t>Severe wind</t>
    </r>
    <r>
      <rPr>
        <b/>
        <sz val="10"/>
        <color theme="1"/>
        <rFont val="Arial"/>
        <family val="2"/>
      </rPr>
      <t xml:space="preserve">
</t>
    </r>
    <r>
      <rPr>
        <sz val="9"/>
        <color theme="1"/>
        <rFont val="Arial"/>
        <family val="2"/>
      </rPr>
      <t>High wind velocity due to thunderstorms, wind gusts, tornados, or cyclones</t>
    </r>
  </si>
  <si>
    <r>
      <rPr>
        <b/>
        <sz val="11"/>
        <color theme="1"/>
        <rFont val="Arial"/>
        <family val="2"/>
      </rPr>
      <t>Droughts</t>
    </r>
    <r>
      <rPr>
        <b/>
        <sz val="10"/>
        <color theme="1"/>
        <rFont val="Arial"/>
        <family val="2"/>
      </rPr>
      <t xml:space="preserve">
</t>
    </r>
    <r>
      <rPr>
        <sz val="9"/>
        <color theme="1"/>
        <rFont val="Arial"/>
        <family val="2"/>
      </rPr>
      <t>Episodic combination of low rainfall and runoff deficit, and evaporation that leads to dry soil (i.e. hydrological drought)</t>
    </r>
  </si>
  <si>
    <r>
      <rPr>
        <b/>
        <sz val="11"/>
        <color theme="1"/>
        <rFont val="Arial"/>
        <family val="2"/>
      </rPr>
      <t>Changing air temperature</t>
    </r>
    <r>
      <rPr>
        <b/>
        <sz val="10"/>
        <color theme="1"/>
        <rFont val="Arial"/>
        <family val="2"/>
      </rPr>
      <t xml:space="preserve">
</t>
    </r>
    <r>
      <rPr>
        <sz val="9"/>
        <color theme="1"/>
        <rFont val="Arial"/>
        <family val="2"/>
      </rPr>
      <t>Increased variability in diurnal and seasonal air temperature</t>
    </r>
  </si>
  <si>
    <r>
      <rPr>
        <b/>
        <sz val="11"/>
        <color theme="1"/>
        <rFont val="Arial"/>
        <family val="2"/>
      </rPr>
      <t>Extreme heat</t>
    </r>
    <r>
      <rPr>
        <b/>
        <sz val="10"/>
        <color theme="1"/>
        <rFont val="Arial"/>
        <family val="2"/>
      </rPr>
      <t xml:space="preserve">
</t>
    </r>
    <r>
      <rPr>
        <sz val="9"/>
        <color theme="1"/>
        <rFont val="Arial"/>
        <family val="2"/>
      </rPr>
      <t>Episodic high surface air temperature events that are potentially exacerbated by humidity</t>
    </r>
  </si>
  <si>
    <t>Resilience Rating</t>
  </si>
  <si>
    <t>Design Feature</t>
  </si>
  <si>
    <t>Disrupted faecal sludge emptying services</t>
  </si>
  <si>
    <r>
      <t>Instructions:</t>
    </r>
    <r>
      <rPr>
        <i/>
        <sz val="10"/>
        <color theme="3"/>
        <rFont val="Arial"/>
        <family val="2"/>
      </rPr>
      <t xml:space="preserve"> Fill in the grey boxes in the table below. Hover over the cells or refer to the accompanying guidelines for more details. </t>
    </r>
  </si>
  <si>
    <r>
      <rPr>
        <b/>
        <i/>
        <sz val="11"/>
        <color theme="3"/>
        <rFont val="Arial (Body)"/>
      </rPr>
      <t xml:space="preserve">Instructions: </t>
    </r>
    <r>
      <rPr>
        <i/>
        <sz val="11"/>
        <color theme="3"/>
        <rFont val="Arial (Body)"/>
      </rPr>
      <t xml:space="preserve">Select hazardous events and trends that are relevant for the climate context in which you are assessing the sanitation technology and fill in the grey boxes in the table below. Hover over the cells or refer to the accompanying guidelines for more details.  </t>
    </r>
  </si>
  <si>
    <r>
      <rPr>
        <b/>
        <i/>
        <sz val="11"/>
        <rFont val="Arial"/>
        <family val="2"/>
      </rPr>
      <t xml:space="preserve">Instructions - For each hazard </t>
    </r>
    <r>
      <rPr>
        <i/>
        <sz val="11"/>
        <rFont val="Arial"/>
        <family val="2"/>
      </rPr>
      <t>(An example is provided at the bottom of the page. Hover over the cells or refer to the accompanying guidelines for more details):
1) Hover over the potential hazard to read a specific example of the hazard.
2) Consider whether the hazard is relevant for your sanitation technology. If a hazard is irrelevant (e.g. 'increased levels of receiving waterways' is irrelevant if the sanitation technology does not discharge to a waterway), select No.
3) If the hazard is relevant, select Yes and give an impact rating based on how severely the sanitation technology would be disrupted if it was exposed to that specific example of the hazard. If the hazard is irrelevant, don't give it a rating.
4) Provide a brief justification for your rating.</t>
    </r>
  </si>
  <si>
    <r>
      <rPr>
        <b/>
        <i/>
        <sz val="10"/>
        <color theme="3"/>
        <rFont val="Arial"/>
        <family val="2"/>
      </rPr>
      <t xml:space="preserve">Instructions - For each design feature: </t>
    </r>
    <r>
      <rPr>
        <i/>
        <sz val="10"/>
        <color theme="3"/>
        <rFont val="Arial"/>
        <family val="2"/>
      </rPr>
      <t xml:space="preserve">(An example is provided at the bottom of the page. Hover over the cells or refer to the accompanying guidelines for more details.)
1) Read the design feature description (see accompanying guidelines for more details).
2) Consider if the design feature is reflected (✅ Yes, ⛔️ No) in the sanitation technology design. If yes, describe how the sanitation technology utilises this design feature to accommodate the climate hazards from step 3.
3) If the design feature is not included or is a weak point, identify any possible climate risks (referring back to step 3) due to this. 
4) Reflect on potential improvements to increase the climate resilience of the sanitation technology with regard to the design feature. </t>
    </r>
  </si>
  <si>
    <r>
      <t xml:space="preserve">1. Avoiding exposure to hazards
</t>
    </r>
    <r>
      <rPr>
        <sz val="12"/>
        <color theme="2"/>
        <rFont val="Arial (Body)"/>
      </rPr>
      <t>Features that reduce the likelihood that critical components of the sanitation technology become directly exposed to a climate hazard.</t>
    </r>
  </si>
  <si>
    <t>Disrupted access to sanitation technology for O&amp;M</t>
  </si>
  <si>
    <t>Disrupted access to the sanitation technology for major repairs</t>
  </si>
  <si>
    <t>Disrupted electricity inputs to the sanitation technology</t>
  </si>
  <si>
    <t>Disrupted water inputs to the sanitation technology</t>
  </si>
  <si>
    <r>
      <t xml:space="preserve">4. Containing failures
</t>
    </r>
    <r>
      <rPr>
        <sz val="12"/>
        <color rgb="FF3F50B5"/>
        <rFont val="Arial"/>
        <family val="2"/>
      </rPr>
      <t>Features that enable the sanitation technology to continue providing basic services and meet user needs despite damage to technology components caused by climate hazards.</t>
    </r>
  </si>
  <si>
    <r>
      <t xml:space="preserve">7. Providing benefits beyond resilience
</t>
    </r>
    <r>
      <rPr>
        <sz val="12"/>
        <color rgb="FF3F50B5"/>
        <rFont val="Arial"/>
        <family val="2"/>
      </rPr>
      <t>Features that enable the sanitation technology to provide other benefits to people or to other systems that aid in broader community or system resilience.</t>
    </r>
  </si>
  <si>
    <r>
      <t xml:space="preserve">2. Withstanding exposure to hazards
</t>
    </r>
    <r>
      <rPr>
        <sz val="12"/>
        <color rgb="FF3F50B5"/>
        <rFont val="Arial"/>
        <family val="2"/>
      </rPr>
      <t>Features that enable the sanitation technology to resist a climate hazard. The sanitation technology continues to function “as normal” (i.e. no changes in hardware or operations) even when exposed to climate hazards.</t>
    </r>
  </si>
  <si>
    <t>Description of design feature in the sanitation technology</t>
  </si>
  <si>
    <r>
      <t xml:space="preserve">Instructions - for each hazardous event or trend:
</t>
    </r>
    <r>
      <rPr>
        <sz val="11"/>
        <color theme="3"/>
        <rFont val="Arial"/>
        <family val="2"/>
        <scheme val="minor"/>
      </rPr>
      <t>1) Look at the overall impact rating that is auto-calculated based on the proportion of low, moderate, and high impact ratings you provided in step 3.
2) Give an overall resilience rating. You may refer back to step 3 and filter the hazards by the 'Hazardous events and trends' (HET) to remind yourself of the likely impacts.</t>
    </r>
    <r>
      <rPr>
        <b/>
        <i/>
        <sz val="11"/>
        <color theme="3"/>
        <rFont val="Arial"/>
        <family val="2"/>
        <scheme val="minor"/>
      </rPr>
      <t xml:space="preserve">
</t>
    </r>
    <r>
      <rPr>
        <sz val="11"/>
        <color theme="3"/>
        <rFont val="Arial"/>
        <family val="2"/>
        <scheme val="minor"/>
      </rPr>
      <t>3) Provide a brief justification for your rating.</t>
    </r>
  </si>
  <si>
    <t>Sanitation Technology Description</t>
  </si>
  <si>
    <t>Selected 'Hazardous event and trend' (HETs)</t>
  </si>
  <si>
    <t>ClimateFIRST created by Jeremy Kohlitz, Ian Cunningham, Jay Falletta and Juliet Willetts - University of Technology Sydney, Institute for Sustainable Futures</t>
  </si>
  <si>
    <t>Anaerobic Baffled Reactor (ABR)</t>
  </si>
  <si>
    <t>6 baffled reactors and 3 anaerobic filters, concrete structure with reinforcement. Servicing 30-50 people.</t>
  </si>
  <si>
    <t>Banjarmasin, Indonesia</t>
  </si>
  <si>
    <t>ABR chambers; pipes going from dwelling compound to inlet chamber; outlet pipe; manholes; blackwater inputs</t>
  </si>
  <si>
    <t>Latrine superstructure; toilet/pan; non-blackwater inputs; pipework within house/building; technology design does not include a soak pit.</t>
  </si>
  <si>
    <t>Jeremy Kohlitz</t>
  </si>
  <si>
    <t>UTS-ISF</t>
  </si>
  <si>
    <t>Ian Cunningham</t>
  </si>
  <si>
    <t>Juliet Willetts</t>
  </si>
  <si>
    <t>Multiple flooding events per year due to fluvial flooding</t>
  </si>
  <si>
    <t>Wet season and dry season with increasing variability due to climate change</t>
  </si>
  <si>
    <t>Not coastal, but rivers are hydrologically connected to the tide, so groundwater and river levels go up with sea level rise. Rivers are brackish.</t>
  </si>
  <si>
    <t>Fire risk is mostly driven by human activities, particularly in informal settlements</t>
  </si>
  <si>
    <t>Strong storms are a risk, but cyclones are not a high risk</t>
  </si>
  <si>
    <t>Droughts are relatively lower risk compared to floods, but water shortages can occur</t>
  </si>
  <si>
    <t>Not a lot of temperature variability as temperature stay around 20 - 30 degrees annually</t>
  </si>
  <si>
    <t>Exposed to extreme heat waves and high humidity annually</t>
  </si>
  <si>
    <t>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t>
  </si>
  <si>
    <t>Salt water from coastal flooding could corrode the rebar in the ABR, weakening it over time. Corrosion will be difficult to observe as rebar is not exposed.</t>
  </si>
  <si>
    <t>The nature of this hazard depends on the reactivity of the soils. If the ABR is installed to specifications (with appropriate concrete mixes, i.e armoring and strengthening), this is unlikely to be an issue.</t>
  </si>
  <si>
    <t>The concrete construction (armoring and strengthening) means impact of flames would be minimal on the main ABR structure. Most of the pipes going to the ABR are buried. Those that are exposed are at risk of melting/failure. However the pipes are accessibile for rapid flaw detection and repair, and would be able to be repaired quickly in the case of a fire assuming parts were available.</t>
  </si>
  <si>
    <t>The concrete construction (armoring and strengthening) and burying of the ABR, mean force of flood waters will have minimal impact when located away from rivers or coastal areas. If inlet pipes are not secured or buried, they may present a risk of failure. If the system is partially exposed to flood water, such as on the river bank or coastline, flood waters are more of a concern.</t>
  </si>
  <si>
    <t xml:space="preserve">Backflow or restricted discharge due to raised receiving water levels could reduce residence time and function of the ABR = low impact. Extended periods and flat terrain could cause backflow to the toilet = medium impact.  Overall in Banjarmasin this is medium impact as it is quite likely and very flat. </t>
  </si>
  <si>
    <t>It's unlikely uprooted trees would impact the ABR as an excavated site is necessary for its installation. This would only be an issue if trees grew over time and roots were adjacent/under components</t>
  </si>
  <si>
    <t>Variable inflow velocity (low and high) can be accommodated by the ABR to a point. Refer to comments above on high flows.</t>
  </si>
  <si>
    <t>Variable inflow volume (low and high) can be accommodated by the ABR to a potint. Refer to comments above on high flows.</t>
  </si>
  <si>
    <t>If the pressure head for the treatment is high and/or inflow velocity is high, the residence time in various chambers will be reduced, reducing treatment effectiveness.</t>
  </si>
  <si>
    <t>If the pressure head for the treatment is high and/or inflow velocity is hight, the residence time in various chambers will be reduced, reducing treatment effectiveness.</t>
  </si>
  <si>
    <t>Reduced water inflow volumes may mean an increase in pathogen concentration in the chambers (less diultion). It's likely the ABR can buffer and reductions in flow volume and increase in pathogen concentration through a longer treatment time because of the reduced flows. Water is required to move waste from toilets to ABR to be treated, so as long as water volume is not below these required levels, impacts will be lower.</t>
  </si>
  <si>
    <t>A regular flow of water drives flows through the ABR. Reduced velocity is ok, it will increase the pathogen treatment time in each chamber.</t>
  </si>
  <si>
    <t>The ABR is buried and heavy, wind is unlikely to impact the structure.</t>
  </si>
  <si>
    <t>The technology is buried underground so that windblown debris damage is less likely. Depending on location of pipes, they could be struck by debris or debris clogging inlet, but this is lower risk</t>
  </si>
  <si>
    <t>Would have less BOD removal and less pathogen removal, but the ABR would still function in terms of physical flow</t>
  </si>
  <si>
    <t>The ABR would be able to reduce pathogens, but if the concentration became very high or if there were a cholera outbreak, the effluent may be poor quality</t>
  </si>
  <si>
    <t>Extreme heat would have little affect on the structure and treatment processes which are insulated underground</t>
  </si>
  <si>
    <t>Given the system discharges to the waterway and no soak pit (from the scoping tab) the discuarge of this effluent to stressed waterways may become forbidden. Heat stress causing low river flow also increases impact of effluent compared with high flow periods</t>
  </si>
  <si>
    <t>If maintenance is needed, such as removing a blockage, the technology would fail without the maintenance people being able to access the technology. As sludge removal is irregular, this is unlikely to be an issue except in a severe incident where emergency maintenance was needed.</t>
  </si>
  <si>
    <t>If a blockage causes the ABR to be unable to receive new waste, the technology would not be able to be used at all until it can be access for maintenance</t>
  </si>
  <si>
    <t>The technology does not rely on electricity. It is assumed that sewage is fed into the ABR via gravity.</t>
  </si>
  <si>
    <t>Depending how badly the ABR needs desludging, performance could be degraded to different levels</t>
  </si>
  <si>
    <t>Faecal waste cannot be moved from the toilet to the ABR without water</t>
  </si>
  <si>
    <t xml:space="preserve">These systems are typically at the low point of an area to allow gravity flow. Raising the roof or manhole lids may be possible but would add challenges to maintenance and the value is questionable. </t>
  </si>
  <si>
    <t xml:space="preserve">The ABR and pipes are buried underground ~ 2 metres. This protects it from force of flood waters, wave/tidal forces, wind and exposure to fire. </t>
  </si>
  <si>
    <t>If incoming hazards are likely to damage or disrupt the ABR, there is no practical way to move it out of harm's way</t>
  </si>
  <si>
    <t>No requirements for electricity
No requirements for water beyond the 'normal' inputs from toilets
Limited/irregular maintenance requirements (sludge pumping)</t>
  </si>
  <si>
    <t xml:space="preserve">Concrete constrution, 20cm thick walls. The concrete will resist against forces from water, wind and fire. </t>
  </si>
  <si>
    <t>It's possible it could crack under soil expanision and contraction, or through heavy traffic on the surface of the ABR. It's unknown what level of soil expanision/contraction would do this, however, ensuring it's installed in unreactive soils would help.
These systems are may be located at the edge of a waterway (i.e. river bank) or natural low point in an area (i.e. on coast). It is therefore prone to impact of floodwaters (possibly storm surge in other locations if located at the beach) and may require extra armoring in these contexts.</t>
  </si>
  <si>
    <t>The strength of the armouring and strengthening is also dependent on the quality of the concrete (e.g. rebar, water quality, concrete mix) and installation. As it's not pre-fabricated it's dependent on the skills/diligence of the installer. Pre-fabricated concrete modules could achieve armouring and reduce this risk, however, it comes with transport challenges (and also means local masons are not involved in construction).
As per 'weak point' comment, extra armoring may be relevant if located adjacent to a waterway or coastal area.</t>
  </si>
  <si>
    <t>The ABR is designed for 20L/capita/day and has a peak design factor of 4. Once installed in a place it is difficult to expand. It has some capacity to cope with 'spikes' in usage. However, prolonged usage or a permanent increase in the number of users will mean it reaches it's capacity.</t>
  </si>
  <si>
    <t>Increasing the buffer capacity of the first chamber may be an option if there is adequate space. Allowing space for additional buffer chambers to be added to the end may be a consideration in the siting of the ABR</t>
  </si>
  <si>
    <t>The square shape could be problematic with tidal/wave/flood forces on edges.</t>
  </si>
  <si>
    <t>For ABRs that are located on the edge of a waterway the shape could ensure there are no edges/protrusions in the waterway that could create increased pressuring during high river flows.</t>
  </si>
  <si>
    <t>Sealed inlet chambers, and manholes. If properly constructed, inlet chambers and manholes will prevent ingress from floodwater/seawater entering the ABR</t>
  </si>
  <si>
    <t>The outlet is not sealed, so backflow is possible when water levels are high</t>
  </si>
  <si>
    <t>You could install a non-return valve on the outlet to prevent backflow from entering chambers
Screens for input could reduce clogging from solid waste or other debris. This may also introduce another failure point and also introduces another level of maintenance moving potential downstream failure (clogging over time) upstream (more shorter term challenges such as blocked screens).</t>
  </si>
  <si>
    <t>The technology needs a minimum amount of water to ensure it can flow between chambers. Reductions in water supply (e.g. drought) would likely reduce water flow potentially reducing it's functionality. Adaptability in this regard is not integrated into the design. It would require some user intervention.
In times of increasing flood or rainfall, there may be additional water inputs into the ABR. If retention times were too fast, this would compromise the level of treatment.
Discharge to a soak pit (not detailed in the design) could reduce the impact of backflow from raised receiving water levels and may reduce impact on waterway quality during drought periods when dilution capacity of waterways are reduced.</t>
  </si>
  <si>
    <t>Effluent could be recirculated through the ABR in times of low water. This would require a pumping system which adds cost and complexity to the design.
A shut off valve or similar may be useful in times of flood, sea inundation or high rain if water ingreess into the ABR is an issue.</t>
  </si>
  <si>
    <t xml:space="preserve">Module elements (e.g. additional chambers) to the ABR can not be easily removed or bypassed, however could be added if there was space at either end or possibly piped to additional baffles nearby. However, adding on extra modules is not a common practice.  </t>
  </si>
  <si>
    <t>The concrete structure makes removing modules difficult. Providing pipe fitting or junction boxes at the start or end would ease future modifications, as would allowing additional space for more buffers or a parallel systems in the site selection</t>
  </si>
  <si>
    <t>A failure of one chamber will reduce treatment capability (though not result in total loss of treatment)</t>
  </si>
  <si>
    <t>Multiple settlement and ABR chambers. If one chamber fails, the other chamber/s will provide a level of treatment.</t>
  </si>
  <si>
    <t>It's difficult to know if there are issues until the technology is already having major issues (e.g. toilets can't be flushed). Difficult to know if effluent is being treated adequately.</t>
  </si>
  <si>
    <t>Remote flow sensing, or flow analogue gauge of flow rates through inlets, chambers and outlets would indicate if the ABR was failing.</t>
  </si>
  <si>
    <t>This depends on the degree of damage. It may provide a limited function if damaged (i.e. minor leakage of waste). However, some repairs may require inputs to be stopped or sludge to be removed to access areas for repair. It's not straightforward to isolate chambers.</t>
  </si>
  <si>
    <t>Options to bypass chambers for repairs when needed may mean the ABR could continue to function while chambers were repaired.</t>
  </si>
  <si>
    <t>Decentralised technology, may be connected to several households.  In the event of a failure, only a limited number of households connected to the ABR will be impacted. Compared to a sewered technology where large #'s of households would be impacted.</t>
  </si>
  <si>
    <t>Compared to a septic tank, it is still possible that several households will have disrupted sanitation in the event of a failure. The assessment team noted there may be as many as 40 households connected to some ABRs.</t>
  </si>
  <si>
    <t>Guidelines on maximum number of households to be connected to an ABR.</t>
  </si>
  <si>
    <t xml:space="preserve">Materials are concrete, PVC and steel. If destroyed in fire, flood, etc it does not cause environmental pollution beyond the wastewater waste. There are not materials that would leach into groundwater or create other adverse public health affects. </t>
  </si>
  <si>
    <t>The broken concrete is generally not easily used for other purposes.</t>
  </si>
  <si>
    <t>If the chambers were built out of bricks, they could potentially be recovered and used for other purposes.</t>
  </si>
  <si>
    <t>Waste is held in the tank until it dries out if the ST stops operating which does not pose a continual health risk</t>
  </si>
  <si>
    <t>Could consider HDPE linings around the outside of the ABR to limit public health risks in the event of leakage/damage.</t>
  </si>
  <si>
    <t xml:space="preserve">Locally available materials
Simple construction. If the ABR is physically damaged, it is likely that repairs could be done by local labour using local materials. </t>
  </si>
  <si>
    <t xml:space="preserve">Access hatch for repairs. The chambers can be easily accessed for repairs from the ground.  </t>
  </si>
  <si>
    <t>Access to some chambers may be difficult if full of sludge or water. This will also present a health risk to those doing repairs. There is also no way to shut off continued use during repairs.</t>
  </si>
  <si>
    <t>Introduce shut off valve and ways to shut off toilets that feed into the ABR as needed. As noted earlier, the ability to bypass certain chamers would also help in repairing one chamber while others continue to function. A 'repair' procedure and required tools/equipment should be provided with each ABR, and ideally ABRs should only be installed where trained personnel are available to conduct repairs safely.</t>
  </si>
  <si>
    <t>If a soak pit or leach field was incorporated into the design, it could incorporate plantings to provide other functionality (e.g. animal feed), assuming it could be done without public health risk.</t>
  </si>
  <si>
    <t>Surface can be used as a road/hard surface</t>
  </si>
  <si>
    <t>The ABR is able to buffer changes in precipitation patterns, it is unlikely to create serious impacts.</t>
  </si>
  <si>
    <t>Freya Mills</t>
  </si>
  <si>
    <t>Nuhu Amin</t>
  </si>
  <si>
    <t>Fires are likely to have a low impact on the main ABR structure as it is concrete and buried. However, fires may impact any exposed inlet pipes, though if they are exposed they would also be easy/fast to repair.</t>
  </si>
  <si>
    <t>Winds are considered low risk for the ABR. The main risk from winds is additional debris that may enter the system though this is unlikely as entry points for debris are inside dwellings and into the toilet.</t>
  </si>
  <si>
    <t>Changes in air temperature are unlikely to have any impacts on the ABR. They may cause some fluctuations in the treatment processes, these would be expected to be minor in this location</t>
  </si>
  <si>
    <t>Extreme heat is unlikely to have any impacts on the ABR. Events may cause some fluctuations in the treatment processes, these would be expected to be minor.</t>
  </si>
  <si>
    <t xml:space="preserve">The structural integrityof the ABR is resilient to floods, though inlet pipes may be disturbed if not buried. A risk for floods is inundation/increased flow into chambers reducing retention time and treatment effectiveness. It could also "blow" manholes and lead to pollution. </t>
  </si>
  <si>
    <t>Inlet pipes may be disturbed if not buried. Inundation/increased flow into chambers reducing retention time and treatment effectiveness. It could also "blow" manholes and lead to faecal pollution of the environment. Salt water may impact the biota temporarily in the ABR.</t>
  </si>
  <si>
    <t>Droughts may reduce the water available for flushing needed to move faecal/sewage into the ABR. Droughts would likely not impact the treatment efficacy as it would lead to increased residence time in the treatment train. Doughts would also reduce the dilution at any discharge points/waters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</si>
</sst>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12">
    <font>
      <sz val="11"/>
      <color theme="1"/>
      <name val="Arial"/>
      <family val="2"/>
      <scheme val="minor"/>
    </font>
    <font>
      <b/>
      <sz val="11"/>
      <color theme="1"/>
      <name val="Arial"/>
      <family val="2"/>
      <scheme val="minor"/>
    </font>
    <font>
      <sz val="10"/>
      <color theme="1"/>
      <name val="Arial"/>
      <family val="2"/>
      <scheme val="minor"/>
    </font>
    <font>
      <sz val="11"/>
      <color theme="0"/>
      <name val="Arial"/>
      <family val="2"/>
      <scheme val="minor"/>
    </font>
    <font>
      <b/>
      <sz val="18"/>
      <color theme="1"/>
      <name val="Arial"/>
      <family val="2"/>
      <scheme val="minor"/>
    </font>
    <font>
      <sz val="11"/>
      <color theme="1"/>
      <name val="Arial"/>
      <family val="2"/>
      <scheme val="minor"/>
    </font>
    <font>
      <b/>
      <sz val="11"/>
      <color rgb="FF2097F4"/>
      <name val="Arial"/>
      <family val="2"/>
      <scheme val="minor"/>
    </font>
    <font>
      <b/>
      <sz val="11"/>
      <color rgb="FF3F50B5"/>
      <name val="Arial"/>
      <family val="2"/>
      <scheme val="minor"/>
    </font>
    <font>
      <b/>
      <sz val="11"/>
      <color rgb="FF9D28B1"/>
      <name val="Arial"/>
      <family val="2"/>
      <scheme val="minor"/>
    </font>
    <font>
      <b/>
      <sz val="18"/>
      <color theme="0"/>
      <name val="Arial"/>
      <family val="2"/>
    </font>
    <font>
      <sz val="11"/>
      <color theme="1"/>
      <name val="Arial"/>
      <family val="2"/>
    </font>
    <font>
      <b/>
      <sz val="11"/>
      <color theme="0"/>
      <name val="Arial"/>
      <family val="2"/>
    </font>
    <font>
      <sz val="10"/>
      <color theme="1"/>
      <name val="Arial"/>
      <family val="2"/>
    </font>
    <font>
      <sz val="11"/>
      <color theme="0"/>
      <name val="Arial"/>
      <family val="2"/>
    </font>
    <font>
      <b/>
      <sz val="11"/>
      <color theme="1"/>
      <name val="Arial"/>
      <family val="2"/>
    </font>
    <font>
      <sz val="11"/>
      <name val="Arial"/>
      <family val="2"/>
    </font>
    <font>
      <b/>
      <sz val="10"/>
      <color theme="1"/>
      <name val="Arial"/>
      <family val="2"/>
    </font>
    <font>
      <sz val="10"/>
      <name val="Arial"/>
      <family val="2"/>
    </font>
    <font>
      <b/>
      <i/>
      <sz val="11"/>
      <color theme="0"/>
      <name val="Arial"/>
      <family val="2"/>
    </font>
    <font>
      <i/>
      <sz val="11"/>
      <color theme="0"/>
      <name val="Arial"/>
      <family val="2"/>
    </font>
    <font>
      <sz val="9"/>
      <color theme="1"/>
      <name val="Arial"/>
      <family val="2"/>
    </font>
    <font>
      <b/>
      <sz val="11"/>
      <color rgb="FF3F50B5"/>
      <name val="Arial"/>
      <family val="2"/>
    </font>
    <font>
      <sz val="11"/>
      <color rgb="FF3F50B5"/>
      <name val="Arial"/>
      <family val="2"/>
    </font>
    <font>
      <sz val="10"/>
      <color rgb="FF000000"/>
      <name val="Arial"/>
      <family val="2"/>
    </font>
    <font>
      <sz val="9"/>
      <color rgb="FF000000"/>
      <name val="Arial"/>
      <family val="2"/>
    </font>
    <font>
      <sz val="11"/>
      <color rgb="FFEB1D62"/>
      <name val="Arial"/>
      <family val="2"/>
    </font>
    <font>
      <sz val="11"/>
      <color rgb="FF9D28B1"/>
      <name val="Arial"/>
      <family val="2"/>
    </font>
    <font>
      <sz val="8"/>
      <color theme="1"/>
      <name val="Arial"/>
      <family val="2"/>
    </font>
    <font>
      <b/>
      <sz val="10"/>
      <color rgb="FF000000"/>
      <name val="Calibri"/>
      <family val="2"/>
    </font>
    <font>
      <sz val="10"/>
      <color rgb="FF000000"/>
      <name val="Calibri"/>
      <family val="2"/>
    </font>
    <font>
      <i/>
      <sz val="11"/>
      <color theme="2" tint="-0.249977111117893"/>
      <name val="Arial"/>
      <family val="2"/>
      <scheme val="minor"/>
    </font>
    <font>
      <b/>
      <sz val="11"/>
      <color rgb="FF000000"/>
      <name val="Arial"/>
      <family val="2"/>
    </font>
    <font>
      <b/>
      <sz val="12"/>
      <color rgb="FF3F50B5"/>
      <name val="Arial"/>
      <family val="2"/>
    </font>
    <font>
      <sz val="8"/>
      <name val="Arial"/>
      <family val="2"/>
      <scheme val="minor"/>
    </font>
    <font>
      <b/>
      <sz val="14"/>
      <color theme="0"/>
      <name val="Arial"/>
      <family val="2"/>
    </font>
    <font>
      <b/>
      <sz val="8"/>
      <color theme="0"/>
      <name val="Arial"/>
      <family val="2"/>
    </font>
    <font>
      <b/>
      <sz val="11"/>
      <name val="Arial"/>
      <family val="2"/>
    </font>
    <font>
      <sz val="9"/>
      <name val="Arial"/>
      <family val="2"/>
    </font>
    <font>
      <b/>
      <sz val="10"/>
      <name val="Arial"/>
      <family val="2"/>
    </font>
    <font>
      <i/>
      <sz val="10"/>
      <color theme="0"/>
      <name val="Arial"/>
      <family val="2"/>
    </font>
    <font>
      <i/>
      <sz val="11"/>
      <color rgb="FFFF0000"/>
      <name val="Arial"/>
      <family val="2"/>
    </font>
    <font>
      <b/>
      <sz val="11"/>
      <color theme="0" tint="-0.249977111117893"/>
      <name val="Arial"/>
      <family val="2"/>
    </font>
    <font>
      <b/>
      <sz val="10"/>
      <color theme="0"/>
      <name val="Arial"/>
      <family val="2"/>
    </font>
    <font>
      <sz val="10"/>
      <color rgb="FF000000"/>
      <name val="Tahoma"/>
      <family val="2"/>
    </font>
    <font>
      <b/>
      <sz val="10"/>
      <color rgb="FF000000"/>
      <name val="Tahoma"/>
      <family val="2"/>
    </font>
    <font>
      <sz val="26"/>
      <color theme="1"/>
      <name val="Apple Color Emoji"/>
    </font>
    <font>
      <b/>
      <sz val="11"/>
      <color theme="3"/>
      <name val="Arial (Body)"/>
    </font>
    <font>
      <i/>
      <sz val="11"/>
      <color theme="3"/>
      <name val="Arial (Body)"/>
    </font>
    <font>
      <b/>
      <i/>
      <sz val="11"/>
      <color theme="3"/>
      <name val="Arial (Body)"/>
    </font>
    <font>
      <sz val="11"/>
      <color theme="3"/>
      <name val="Arial (Body)"/>
    </font>
    <font>
      <b/>
      <sz val="11"/>
      <color theme="2"/>
      <name val="Arial"/>
      <family val="2"/>
    </font>
    <font>
      <sz val="13"/>
      <color theme="2"/>
      <name val=".Apple Color Emoji UI"/>
    </font>
    <font>
      <sz val="9"/>
      <color theme="2"/>
      <name val="Arial"/>
      <family val="2"/>
    </font>
    <font>
      <b/>
      <sz val="12"/>
      <color theme="2"/>
      <name val="Arial (Body)"/>
    </font>
    <font>
      <b/>
      <sz val="10"/>
      <color theme="2"/>
      <name val="Arial (Body)"/>
    </font>
    <font>
      <b/>
      <sz val="40"/>
      <color theme="0"/>
      <name val="Arial"/>
      <family val="2"/>
    </font>
    <font>
      <b/>
      <sz val="18"/>
      <name val="Arial"/>
      <family val="2"/>
    </font>
    <font>
      <i/>
      <sz val="10"/>
      <name val="Arial"/>
      <family val="2"/>
    </font>
    <font>
      <i/>
      <sz val="11"/>
      <name val="Arial"/>
      <family val="2"/>
    </font>
    <font>
      <b/>
      <sz val="30"/>
      <color theme="0"/>
      <name val="Arial"/>
      <family val="2"/>
    </font>
    <font>
      <b/>
      <sz val="20"/>
      <color theme="1"/>
      <name val="Arial"/>
      <family val="2"/>
    </font>
    <font>
      <sz val="10"/>
      <color theme="1"/>
      <name val="Arial (Body)"/>
    </font>
    <font>
      <b/>
      <sz val="11"/>
      <color theme="3"/>
      <name val="Arial"/>
      <family val="2"/>
      <scheme val="minor"/>
    </font>
    <font>
      <b/>
      <sz val="20"/>
      <color rgb="FF000000"/>
      <name val="Arial"/>
      <family val="2"/>
      <scheme val="minor"/>
    </font>
    <font>
      <b/>
      <sz val="8"/>
      <color theme="1"/>
      <name val="Arial"/>
      <family val="2"/>
    </font>
    <font>
      <b/>
      <sz val="8"/>
      <color rgb="FF32869C"/>
      <name val="Arial"/>
      <family val="2"/>
    </font>
    <font>
      <b/>
      <sz val="11"/>
      <color theme="3"/>
      <name val="Arial"/>
      <family val="2"/>
    </font>
    <font>
      <sz val="12"/>
      <color theme="3"/>
      <name val="Arial"/>
      <family val="2"/>
    </font>
    <font>
      <sz val="9"/>
      <color theme="3"/>
      <name val="Arial"/>
      <family val="2"/>
    </font>
    <font>
      <b/>
      <sz val="12"/>
      <color theme="0"/>
      <name val="Arial"/>
      <family val="2"/>
    </font>
    <font>
      <b/>
      <sz val="11"/>
      <color theme="0"/>
      <name val="Arial"/>
      <family val="2"/>
      <scheme val="minor"/>
    </font>
    <font>
      <sz val="11"/>
      <name val="Arial (Body)"/>
    </font>
    <font>
      <i/>
      <sz val="11"/>
      <name val="Arial (Body)"/>
    </font>
    <font>
      <b/>
      <i/>
      <sz val="11"/>
      <name val="Arial (Body)"/>
    </font>
    <font>
      <i/>
      <sz val="10"/>
      <color theme="2" tint="-0.249977111117893"/>
      <name val="Arial"/>
      <family val="2"/>
      <scheme val="minor"/>
    </font>
    <font>
      <sz val="18"/>
      <color theme="1"/>
      <name val="Arial"/>
      <family val="2"/>
      <scheme val="minor"/>
    </font>
    <font>
      <b/>
      <sz val="11"/>
      <color rgb="FF000000"/>
      <name val="Arial"/>
      <family val="2"/>
      <scheme val="minor"/>
    </font>
    <font>
      <sz val="12"/>
      <color theme="2"/>
      <name val="Arial (Body)"/>
    </font>
    <font>
      <b/>
      <sz val="9"/>
      <color rgb="FF000000"/>
      <name val="Arial"/>
      <family val="2"/>
      <scheme val="minor"/>
    </font>
    <font>
      <sz val="12"/>
      <color rgb="FF3F50B5"/>
      <name val="Arial"/>
      <family val="2"/>
    </font>
    <font>
      <sz val="10"/>
      <color theme="2"/>
      <name val="Arial (Body)"/>
    </font>
    <font>
      <sz val="13"/>
      <color rgb="FF3F3F3F"/>
      <name val="Helvetica Neue"/>
      <family val="2"/>
    </font>
    <font>
      <sz val="9"/>
      <color indexed="81"/>
      <name val="Tahoma"/>
      <family val="2"/>
    </font>
    <font>
      <b/>
      <sz val="9"/>
      <color indexed="81"/>
      <name val="Tahoma"/>
      <family val="2"/>
    </font>
    <font>
      <sz val="10"/>
      <color indexed="81"/>
      <name val="Tahoma"/>
      <family val="2"/>
    </font>
    <font>
      <b/>
      <strike/>
      <sz val="8"/>
      <color theme="0"/>
      <name val="Arial"/>
      <family val="2"/>
    </font>
    <font>
      <b/>
      <i/>
      <sz val="11"/>
      <color rgb="FFFF0000"/>
      <name val="Arial"/>
      <family val="2"/>
    </font>
    <font>
      <i/>
      <sz val="8"/>
      <color theme="1"/>
      <name val="Arial"/>
      <family val="2"/>
    </font>
    <font>
      <i/>
      <sz val="9"/>
      <name val="Arial"/>
      <family val="2"/>
    </font>
    <font>
      <b/>
      <i/>
      <sz val="11"/>
      <name val="Arial"/>
      <family val="2"/>
    </font>
    <font>
      <sz val="11"/>
      <color theme="6"/>
      <name val="Arial"/>
      <family val="2"/>
    </font>
    <font>
      <sz val="10"/>
      <color theme="6"/>
      <name val="Arial"/>
      <family val="2"/>
    </font>
    <font>
      <sz val="9"/>
      <color theme="6"/>
      <name val="Arial"/>
      <family val="2"/>
    </font>
    <font>
      <i/>
      <sz val="11"/>
      <color theme="6"/>
      <name val="Arial"/>
      <family val="2"/>
    </font>
    <font>
      <i/>
      <sz val="18"/>
      <color theme="6"/>
      <name val="Arial"/>
      <family val="2"/>
    </font>
    <font>
      <b/>
      <sz val="11"/>
      <color theme="6"/>
      <name val="Arial"/>
      <family val="2"/>
    </font>
    <font>
      <sz val="12"/>
      <name val="Arial"/>
      <family val="2"/>
    </font>
    <font>
      <sz val="10"/>
      <color theme="3"/>
      <name val="Arial"/>
      <family val="2"/>
    </font>
    <font>
      <i/>
      <sz val="14"/>
      <color theme="0"/>
      <name val="Arial"/>
      <family val="2"/>
    </font>
    <font>
      <b/>
      <i/>
      <sz val="14"/>
      <color theme="0"/>
      <name val="Arial"/>
      <family val="2"/>
    </font>
    <font>
      <b/>
      <i/>
      <sz val="10"/>
      <color theme="3"/>
      <name val="Arial"/>
      <family val="2"/>
    </font>
    <font>
      <i/>
      <sz val="10"/>
      <color theme="3"/>
      <name val="Arial"/>
      <family val="2"/>
    </font>
    <font>
      <sz val="9"/>
      <color rgb="FF000000"/>
      <name val="Tahoma"/>
      <family val="2"/>
    </font>
    <font>
      <b/>
      <sz val="9"/>
      <color rgb="FF000000"/>
      <name val="Tahoma"/>
      <family val="2"/>
    </font>
    <font>
      <b/>
      <sz val="10"/>
      <color rgb="FF000000"/>
      <name val="Arial"/>
      <family val="2"/>
      <scheme val="minor"/>
    </font>
    <font>
      <b/>
      <sz val="22"/>
      <color theme="0"/>
      <name val="Arial"/>
      <family val="2"/>
    </font>
    <font>
      <b/>
      <i/>
      <sz val="11"/>
      <color theme="3"/>
      <name val="Arial"/>
      <family val="2"/>
      <scheme val="minor"/>
    </font>
    <font>
      <sz val="11"/>
      <color theme="3"/>
      <name val="Arial"/>
      <family val="2"/>
      <scheme val="minor"/>
    </font>
    <font>
      <b/>
      <i/>
      <sz val="12"/>
      <color theme="3"/>
      <name val="Arial"/>
      <family val="2"/>
    </font>
    <font>
      <b/>
      <sz val="30"/>
      <color rgb="FFFFFFFF"/>
      <name val="Arial"/>
      <family val="2"/>
      <scheme val="minor"/>
    </font>
    <font>
      <b/>
      <sz val="12"/>
      <color theme="3"/>
      <name val="Arial"/>
      <family val="2"/>
    </font>
    <font>
      <sz val="14"/>
      <color theme="1"/>
      <name val="Arial"/>
      <family val="2"/>
      <scheme val="minor"/>
    </font>
  </fonts>
  <fills count="28">
    <fill>
      <patternFill patternType="none"/>
    </fill>
    <fill>
      <patternFill patternType="gray125"/>
    </fill>
    <fill>
      <patternFill patternType="solid">
        <fgColor theme="7"/>
        <bgColor indexed="64"/>
      </patternFill>
    </fill>
    <fill>
      <patternFill patternType="solid">
        <fgColor theme="1"/>
        <bgColor indexed="64"/>
      </patternFill>
    </fill>
    <fill>
      <patternFill patternType="solid">
        <fgColor rgb="FF009788"/>
        <bgColor indexed="64"/>
      </patternFill>
    </fill>
    <fill>
      <patternFill patternType="solid">
        <fgColor rgb="FF2096F3"/>
        <bgColor indexed="64"/>
      </patternFill>
    </fill>
    <fill>
      <patternFill patternType="solid">
        <fgColor rgb="FF3F50B5"/>
        <bgColor indexed="64"/>
      </patternFill>
    </fill>
    <fill>
      <patternFill patternType="solid">
        <fgColor rgb="FF9D28B1"/>
        <bgColor indexed="64"/>
      </patternFill>
    </fill>
    <fill>
      <patternFill patternType="solid">
        <fgColor rgb="FF32869C"/>
        <bgColor indexed="64"/>
      </patternFill>
    </fill>
    <fill>
      <patternFill patternType="solid">
        <fgColor rgb="FF2097F4"/>
        <bgColor indexed="64"/>
      </patternFill>
    </fill>
    <fill>
      <patternFill patternType="solid">
        <fgColor rgb="FFD6E7EB"/>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2" tint="0.59999389629810485"/>
        <bgColor indexed="64"/>
      </patternFill>
    </fill>
    <fill>
      <patternFill patternType="solid">
        <fgColor rgb="FFCDE9E6"/>
        <bgColor indexed="64"/>
      </patternFill>
    </fill>
    <fill>
      <patternFill patternType="solid">
        <fgColor theme="6" tint="0.79998168889431442"/>
        <bgColor indexed="64"/>
      </patternFill>
    </fill>
    <fill>
      <patternFill patternType="solid">
        <fgColor theme="6"/>
        <bgColor indexed="64"/>
      </patternFill>
    </fill>
    <fill>
      <patternFill patternType="solid">
        <fgColor theme="3" tint="0.749992370372631"/>
        <bgColor indexed="64"/>
      </patternFill>
    </fill>
    <fill>
      <patternFill patternType="solid">
        <fgColor theme="2" tint="0.79998168889431442"/>
        <bgColor indexed="64"/>
      </patternFill>
    </fill>
    <fill>
      <patternFill patternType="solid">
        <fgColor theme="8"/>
        <bgColor indexed="64"/>
      </patternFill>
    </fill>
    <fill>
      <patternFill patternType="solid">
        <fgColor theme="6" tint="0.59999389629810485"/>
        <bgColor indexed="64"/>
      </patternFill>
    </fill>
    <fill>
      <patternFill patternType="solid">
        <fgColor theme="0" tint="-0.14999847407452621"/>
        <bgColor theme="0" tint="-0.14999847407452621"/>
      </patternFill>
    </fill>
    <fill>
      <patternFill patternType="solid">
        <fgColor theme="5"/>
        <bgColor rgb="FF000000"/>
      </patternFill>
    </fill>
    <fill>
      <patternFill patternType="solid">
        <fgColor theme="2"/>
        <bgColor rgb="FF000000"/>
      </patternFill>
    </fill>
    <fill>
      <patternFill patternType="solid">
        <fgColor theme="0" tint="-0.14999847407452621"/>
        <bgColor indexed="64"/>
      </patternFill>
    </fill>
  </fills>
  <borders count="92">
    <border>
      <left/>
      <right/>
      <top/>
      <bottom/>
      <diagonal/>
    </border>
    <border>
      <left/>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2"/>
      </left>
      <right/>
      <top style="medium">
        <color theme="2"/>
      </top>
      <bottom/>
      <diagonal/>
    </border>
    <border>
      <left/>
      <right/>
      <top style="medium">
        <color theme="2"/>
      </top>
      <bottom/>
      <diagonal/>
    </border>
    <border>
      <left style="medium">
        <color theme="2"/>
      </left>
      <right/>
      <top/>
      <bottom style="medium">
        <color theme="2"/>
      </bottom>
      <diagonal/>
    </border>
    <border>
      <left/>
      <right/>
      <top/>
      <bottom style="medium">
        <color theme="2"/>
      </bottom>
      <diagonal/>
    </border>
    <border>
      <left/>
      <right style="medium">
        <color theme="2"/>
      </right>
      <top/>
      <bottom style="medium">
        <color theme="2"/>
      </bottom>
      <diagonal/>
    </border>
    <border>
      <left style="medium">
        <color theme="2"/>
      </left>
      <right/>
      <top/>
      <bottom/>
      <diagonal/>
    </border>
    <border>
      <left/>
      <right style="medium">
        <color theme="2"/>
      </right>
      <top/>
      <bottom/>
      <diagonal/>
    </border>
    <border>
      <left style="medium">
        <color theme="4"/>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style="thin">
        <color theme="0" tint="-0.24994659260841701"/>
      </right>
      <top/>
      <bottom style="thin">
        <color theme="0" tint="-0.24994659260841701"/>
      </bottom>
      <diagonal/>
    </border>
    <border>
      <left style="thin">
        <color theme="0" tint="-0.24994659260841701"/>
      </left>
      <right style="medium">
        <color theme="4"/>
      </right>
      <top/>
      <bottom style="thin">
        <color theme="0" tint="-0.24994659260841701"/>
      </bottom>
      <diagonal/>
    </border>
    <border>
      <left style="medium">
        <color theme="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4"/>
      </right>
      <top style="thin">
        <color theme="0" tint="-0.24994659260841701"/>
      </top>
      <bottom style="thin">
        <color theme="0" tint="-0.24994659260841701"/>
      </bottom>
      <diagonal/>
    </border>
    <border>
      <left style="medium">
        <color theme="4"/>
      </left>
      <right style="thin">
        <color theme="0" tint="-0.24994659260841701"/>
      </right>
      <top style="thin">
        <color theme="0" tint="-0.24994659260841701"/>
      </top>
      <bottom style="medium">
        <color theme="4"/>
      </bottom>
      <diagonal/>
    </border>
    <border>
      <left style="thin">
        <color theme="0" tint="-0.24994659260841701"/>
      </left>
      <right style="medium">
        <color theme="4"/>
      </right>
      <top style="thin">
        <color theme="0" tint="-0.24994659260841701"/>
      </top>
      <bottom style="medium">
        <color theme="4"/>
      </bottom>
      <diagonal/>
    </border>
    <border>
      <left/>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
      <left style="thin">
        <color theme="0" tint="-0.34998626667073579"/>
      </left>
      <right style="thin">
        <color theme="0" tint="-0.34998626667073579"/>
      </right>
      <top/>
      <bottom style="thin">
        <color theme="0" tint="-0.34998626667073579"/>
      </bottom>
      <diagonal/>
    </border>
    <border>
      <left/>
      <right style="thin">
        <color rgb="FFA6A6A6"/>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medium">
        <color theme="6"/>
      </left>
      <right/>
      <top/>
      <bottom/>
      <diagonal/>
    </border>
    <border>
      <left/>
      <right style="medium">
        <color theme="6"/>
      </right>
      <top/>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right style="medium">
        <color theme="7"/>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auto="1"/>
      </top>
      <bottom style="thin">
        <color auto="1"/>
      </bottom>
      <diagonal/>
    </border>
    <border>
      <left/>
      <right style="medium">
        <color theme="2"/>
      </right>
      <top style="medium">
        <color theme="2"/>
      </top>
      <bottom/>
      <diagonal/>
    </border>
    <border>
      <left/>
      <right/>
      <top style="thin">
        <color theme="1"/>
      </top>
      <bottom/>
      <diagonal/>
    </border>
    <border>
      <left/>
      <right/>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style="medium">
        <color rgb="FF0070C0"/>
      </right>
      <top/>
      <bottom style="medium">
        <color rgb="FF0070C0"/>
      </bottom>
      <diagonal/>
    </border>
    <border>
      <left style="medium">
        <color auto="1"/>
      </left>
      <right/>
      <top/>
      <bottom/>
      <diagonal/>
    </border>
    <border>
      <left style="thin">
        <color theme="0" tint="-0.34998626667073579"/>
      </left>
      <right/>
      <top/>
      <bottom/>
      <diagonal/>
    </border>
    <border>
      <left style="medium">
        <color theme="3"/>
      </left>
      <right/>
      <top/>
      <bottom style="medium">
        <color indexed="64"/>
      </bottom>
      <diagonal/>
    </border>
    <border>
      <left/>
      <right style="medium">
        <color theme="3"/>
      </right>
      <top/>
      <bottom style="medium">
        <color indexed="64"/>
      </bottom>
      <diagonal/>
    </border>
    <border>
      <left style="hair">
        <color theme="0" tint="-0.34998626667073579"/>
      </left>
      <right style="hair">
        <color theme="0" tint="-0.34998626667073579"/>
      </right>
      <top style="thin">
        <color indexed="64"/>
      </top>
      <bottom style="hair">
        <color theme="0" tint="-0.34998626667073579"/>
      </bottom>
      <diagonal/>
    </border>
    <border>
      <left/>
      <right style="hair">
        <color theme="0" tint="-0.34998626667073579"/>
      </right>
      <top style="thin">
        <color indexed="64"/>
      </top>
      <bottom style="thin">
        <color indexed="64"/>
      </bottom>
      <diagonal/>
    </border>
    <border>
      <left style="medium">
        <color theme="5"/>
      </left>
      <right style="thin">
        <color theme="0" tint="-0.34998626667073579"/>
      </right>
      <top/>
      <bottom/>
      <diagonal/>
    </border>
    <border>
      <left style="hair">
        <color theme="0" tint="-0.34998626667073579"/>
      </left>
      <right style="hair">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thin">
        <color theme="0" tint="-0.34998626667073579"/>
      </right>
      <top style="hair">
        <color theme="0" tint="-0.34998626667073579"/>
      </top>
      <bottom style="thin">
        <color theme="0" tint="-0.34998626667073579"/>
      </bottom>
      <diagonal/>
    </border>
  </borders>
  <cellStyleXfs count="3">
    <xf numFmtId="0" fontId="0" fillId="0" borderId="0"/>
    <xf numFmtId="9" fontId="5" fillId="0" borderId="0" applyFont="0" applyFill="0" applyBorder="0" applyAlignment="0" applyProtection="0"/>
    <xf numFmtId="0" fontId="62" fillId="0" borderId="0" applyNumberFormat="0" applyFill="0" applyBorder="0" applyAlignment="0" applyProtection="0"/>
  </cellStyleXfs>
  <cellXfs count="398">
    <xf numFmtId="0" fontId="0" fillId="0" borderId="0" xfId="0"/>
    <xf numFmtId="0" fontId="0" fillId="2" borderId="0" xfId="0" applyFill="1"/>
    <xf numFmtId="0" fontId="0" fillId="0" borderId="0" xfId="0" applyAlignment="1">
      <alignment horizontal="center"/>
    </xf>
    <xf numFmtId="0" fontId="1" fillId="0" borderId="0" xfId="0" applyFont="1" applyAlignment="1">
      <alignment horizontal="center" wrapText="1"/>
    </xf>
    <xf numFmtId="0" fontId="3" fillId="3" borderId="0" xfId="0" applyFont="1" applyFill="1"/>
    <xf numFmtId="0" fontId="3" fillId="0" borderId="0" xfId="0" applyFont="1"/>
    <xf numFmtId="0" fontId="1" fillId="0" borderId="0" xfId="0" applyFont="1" applyAlignment="1">
      <alignment horizontal="right"/>
    </xf>
    <xf numFmtId="0" fontId="4"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12" fillId="0" borderId="0" xfId="0" applyFont="1"/>
    <xf numFmtId="0" fontId="12" fillId="0" borderId="0" xfId="0" applyFont="1" applyAlignment="1">
      <alignment horizontal="center" vertical="center"/>
    </xf>
    <xf numFmtId="0" fontId="10" fillId="0" borderId="0" xfId="0" applyFont="1" applyAlignment="1">
      <alignment vertical="center"/>
    </xf>
    <xf numFmtId="0" fontId="1" fillId="0" borderId="0" xfId="0" applyFont="1"/>
    <xf numFmtId="0" fontId="0" fillId="0" borderId="0" xfId="0" applyAlignment="1">
      <alignment horizontal="left"/>
    </xf>
    <xf numFmtId="0" fontId="16" fillId="0" borderId="0" xfId="0" applyFont="1" applyAlignment="1">
      <alignment horizontal="center" vertical="center" wrapText="1"/>
    </xf>
    <xf numFmtId="0" fontId="17" fillId="0" borderId="0" xfId="0" applyFont="1" applyAlignment="1">
      <alignment horizontal="left" vertical="top" wrapText="1"/>
    </xf>
    <xf numFmtId="164" fontId="10" fillId="0" borderId="0" xfId="0" applyNumberFormat="1" applyFont="1"/>
    <xf numFmtId="0" fontId="9" fillId="0" borderId="0" xfId="0" applyFont="1" applyAlignment="1">
      <alignment horizontal="center"/>
    </xf>
    <xf numFmtId="0" fontId="27" fillId="0" borderId="0" xfId="0" applyFont="1"/>
    <xf numFmtId="0" fontId="6" fillId="0" borderId="0" xfId="0" applyFont="1"/>
    <xf numFmtId="0" fontId="7" fillId="0" borderId="0" xfId="0" applyFont="1"/>
    <xf numFmtId="0" fontId="8" fillId="0" borderId="0" xfId="0" applyFont="1" applyAlignment="1">
      <alignment horizontal="center" wrapText="1"/>
    </xf>
    <xf numFmtId="0" fontId="10" fillId="0" borderId="0" xfId="0" applyFont="1" applyAlignment="1">
      <alignment horizontal="center" wrapText="1"/>
    </xf>
    <xf numFmtId="0" fontId="0" fillId="0" borderId="0" xfId="0" applyAlignment="1">
      <alignment horizontal="center" wrapText="1"/>
    </xf>
    <xf numFmtId="9" fontId="0" fillId="0" borderId="0" xfId="1" applyFont="1"/>
    <xf numFmtId="0" fontId="16" fillId="0" borderId="3" xfId="0" applyFont="1" applyBorder="1" applyAlignment="1">
      <alignment horizontal="left" vertical="center" wrapText="1"/>
    </xf>
    <xf numFmtId="0" fontId="10" fillId="0" borderId="0" xfId="0" applyFont="1" applyAlignment="1">
      <alignment horizontal="left" vertical="center"/>
    </xf>
    <xf numFmtId="0" fontId="45" fillId="0" borderId="0" xfId="0" applyFont="1"/>
    <xf numFmtId="0" fontId="10" fillId="16" borderId="0" xfId="0" applyFont="1" applyFill="1"/>
    <xf numFmtId="0" fontId="9" fillId="0" borderId="0" xfId="0" applyFont="1" applyAlignment="1">
      <alignment horizontal="left" vertical="center"/>
    </xf>
    <xf numFmtId="0" fontId="11" fillId="0" borderId="0" xfId="0" applyFont="1" applyAlignment="1">
      <alignment horizontal="left" vertical="center"/>
    </xf>
    <xf numFmtId="0" fontId="11" fillId="4" borderId="13" xfId="0" applyFont="1" applyFill="1" applyBorder="1" applyAlignment="1">
      <alignment horizontal="left" vertical="center"/>
    </xf>
    <xf numFmtId="0" fontId="11" fillId="4" borderId="14" xfId="0" applyFont="1" applyFill="1" applyBorder="1" applyAlignment="1">
      <alignment horizontal="left" vertical="center"/>
    </xf>
    <xf numFmtId="0" fontId="16" fillId="0" borderId="15" xfId="0" applyFont="1" applyBorder="1" applyAlignment="1">
      <alignment horizontal="left" vertical="top" wrapText="1" indent="1"/>
    </xf>
    <xf numFmtId="0" fontId="16" fillId="0" borderId="17" xfId="0" applyFont="1" applyBorder="1" applyAlignment="1">
      <alignment horizontal="left" vertical="top" wrapText="1" indent="1"/>
    </xf>
    <xf numFmtId="0" fontId="10" fillId="0" borderId="11" xfId="0" applyFont="1" applyBorder="1"/>
    <xf numFmtId="0" fontId="10" fillId="0" borderId="21" xfId="0" applyFont="1" applyBorder="1"/>
    <xf numFmtId="0" fontId="10" fillId="0" borderId="13" xfId="0" applyFont="1" applyBorder="1"/>
    <xf numFmtId="0" fontId="9" fillId="4" borderId="0" xfId="0" applyFont="1" applyFill="1"/>
    <xf numFmtId="0" fontId="55" fillId="4" borderId="0" xfId="0" applyFont="1" applyFill="1" applyAlignment="1">
      <alignment vertical="center"/>
    </xf>
    <xf numFmtId="0" fontId="10" fillId="0" borderId="14" xfId="0" applyFont="1" applyBorder="1"/>
    <xf numFmtId="0" fontId="56" fillId="17" borderId="0" xfId="0" applyFont="1" applyFill="1"/>
    <xf numFmtId="0" fontId="58" fillId="17" borderId="0" xfId="0" applyFont="1" applyFill="1"/>
    <xf numFmtId="0" fontId="9" fillId="0" borderId="0" xfId="0" applyFont="1"/>
    <xf numFmtId="0" fontId="19" fillId="0" borderId="0" xfId="0" applyFont="1"/>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vertical="center"/>
    </xf>
    <xf numFmtId="0" fontId="11" fillId="0" borderId="0" xfId="0" applyFont="1" applyAlignment="1">
      <alignment vertical="center"/>
    </xf>
    <xf numFmtId="0" fontId="10" fillId="0" borderId="14" xfId="0" applyFont="1" applyBorder="1" applyAlignment="1">
      <alignment vertical="center"/>
    </xf>
    <xf numFmtId="0" fontId="16" fillId="0" borderId="0" xfId="0" applyFont="1" applyAlignment="1">
      <alignment horizontal="center" vertical="center"/>
    </xf>
    <xf numFmtId="0" fontId="12" fillId="0" borderId="0" xfId="0" applyFont="1" applyAlignment="1">
      <alignment horizontal="left"/>
    </xf>
    <xf numFmtId="0" fontId="10" fillId="0" borderId="22" xfId="0" applyFont="1" applyBorder="1"/>
    <xf numFmtId="0" fontId="10" fillId="0" borderId="23" xfId="0" applyFont="1" applyBorder="1"/>
    <xf numFmtId="0" fontId="10" fillId="0" borderId="12" xfId="0" applyFont="1" applyBorder="1"/>
    <xf numFmtId="0" fontId="9" fillId="0" borderId="14" xfId="0" applyFont="1" applyBorder="1"/>
    <xf numFmtId="0" fontId="56" fillId="0" borderId="14" xfId="0" applyFont="1" applyBorder="1"/>
    <xf numFmtId="0" fontId="9" fillId="0" borderId="14" xfId="0" applyFont="1" applyBorder="1" applyAlignment="1">
      <alignment horizontal="left" vertical="center"/>
    </xf>
    <xf numFmtId="0" fontId="11" fillId="0" borderId="14" xfId="0" applyFont="1" applyBorder="1" applyAlignment="1">
      <alignment horizontal="left" vertical="center"/>
    </xf>
    <xf numFmtId="0" fontId="12" fillId="0" borderId="14" xfId="0" applyFont="1" applyBorder="1"/>
    <xf numFmtId="0" fontId="10" fillId="0" borderId="24" xfId="0" applyFont="1" applyBorder="1"/>
    <xf numFmtId="0" fontId="12" fillId="0" borderId="0" xfId="0" applyFont="1" applyAlignment="1">
      <alignment vertical="top" wrapText="1"/>
    </xf>
    <xf numFmtId="0" fontId="10" fillId="0" borderId="25" xfId="0" applyFont="1" applyBorder="1"/>
    <xf numFmtId="0" fontId="10" fillId="0" borderId="26" xfId="0" applyFont="1" applyBorder="1"/>
    <xf numFmtId="0" fontId="10" fillId="0" borderId="27" xfId="0" applyFont="1" applyBorder="1"/>
    <xf numFmtId="0" fontId="10" fillId="0" borderId="28" xfId="0" applyFont="1" applyBorder="1"/>
    <xf numFmtId="0" fontId="59" fillId="8" borderId="0" xfId="0" applyFont="1" applyFill="1" applyAlignment="1">
      <alignment vertical="center" wrapText="1"/>
    </xf>
    <xf numFmtId="0" fontId="19" fillId="8" borderId="0" xfId="0" applyFont="1" applyFill="1" applyAlignment="1">
      <alignment vertical="center" wrapText="1"/>
    </xf>
    <xf numFmtId="0" fontId="19" fillId="0" borderId="29" xfId="0" applyFont="1" applyBorder="1" applyAlignment="1">
      <alignment vertical="center" wrapText="1"/>
    </xf>
    <xf numFmtId="0" fontId="10" fillId="0" borderId="28" xfId="0" applyFont="1" applyBorder="1" applyAlignment="1">
      <alignment vertical="center"/>
    </xf>
    <xf numFmtId="0" fontId="49" fillId="0" borderId="29" xfId="0" applyFont="1" applyBorder="1" applyAlignment="1">
      <alignment vertical="center"/>
    </xf>
    <xf numFmtId="0" fontId="46" fillId="0" borderId="0" xfId="0" applyFont="1" applyAlignment="1">
      <alignment horizontal="center" vertical="center"/>
    </xf>
    <xf numFmtId="0" fontId="47" fillId="0" borderId="0" xfId="0" applyFont="1" applyAlignment="1">
      <alignment vertical="center" wrapText="1"/>
    </xf>
    <xf numFmtId="0" fontId="49" fillId="0" borderId="0" xfId="0" applyFont="1" applyAlignment="1">
      <alignment vertical="center"/>
    </xf>
    <xf numFmtId="0" fontId="11" fillId="0" borderId="29" xfId="0" applyFont="1" applyBorder="1" applyAlignment="1">
      <alignment horizontal="left" vertical="center" wrapText="1"/>
    </xf>
    <xf numFmtId="0" fontId="17" fillId="0" borderId="29" xfId="0" applyFont="1" applyBorder="1" applyAlignment="1">
      <alignment horizontal="left" vertical="top" wrapText="1"/>
    </xf>
    <xf numFmtId="0" fontId="12" fillId="0" borderId="29" xfId="0" applyFont="1" applyBorder="1" applyAlignment="1">
      <alignment vertical="top" wrapText="1"/>
    </xf>
    <xf numFmtId="0" fontId="10" fillId="0" borderId="30" xfId="0" applyFont="1" applyBorder="1"/>
    <xf numFmtId="164" fontId="10" fillId="0" borderId="31" xfId="0" applyNumberFormat="1" applyFont="1" applyBorder="1"/>
    <xf numFmtId="0" fontId="12" fillId="0" borderId="31" xfId="0" applyFont="1" applyBorder="1" applyAlignment="1">
      <alignment horizontal="center" vertical="center"/>
    </xf>
    <xf numFmtId="0" fontId="12" fillId="0" borderId="31" xfId="0" applyFont="1" applyBorder="1" applyAlignment="1">
      <alignment vertical="top" wrapText="1"/>
    </xf>
    <xf numFmtId="0" fontId="12" fillId="0" borderId="32" xfId="0" applyFont="1" applyBorder="1" applyAlignment="1">
      <alignment vertical="top" wrapText="1"/>
    </xf>
    <xf numFmtId="0" fontId="14" fillId="0" borderId="0" xfId="0" applyFont="1" applyAlignment="1">
      <alignment horizontal="left" vertical="center" wrapText="1"/>
    </xf>
    <xf numFmtId="0" fontId="14" fillId="0" borderId="31" xfId="0" applyFont="1" applyBorder="1" applyAlignment="1">
      <alignment horizontal="left" vertical="center" wrapText="1"/>
    </xf>
    <xf numFmtId="0" fontId="63" fillId="0" borderId="34" xfId="0" applyFont="1" applyBorder="1" applyAlignment="1">
      <alignment horizontal="center" vertical="center" wrapText="1"/>
    </xf>
    <xf numFmtId="0" fontId="10" fillId="0" borderId="35" xfId="0" applyFont="1" applyBorder="1"/>
    <xf numFmtId="0" fontId="10" fillId="0" borderId="36" xfId="0" applyFont="1" applyBorder="1"/>
    <xf numFmtId="0" fontId="10" fillId="0" borderId="36" xfId="0" applyFont="1" applyBorder="1" applyAlignment="1">
      <alignment wrapText="1"/>
    </xf>
    <xf numFmtId="0" fontId="10" fillId="0" borderId="36" xfId="0" applyFont="1" applyBorder="1" applyAlignment="1">
      <alignment horizontal="center"/>
    </xf>
    <xf numFmtId="0" fontId="10" fillId="0" borderId="37" xfId="0" applyFont="1" applyBorder="1"/>
    <xf numFmtId="0" fontId="10" fillId="0" borderId="38" xfId="0" applyFont="1" applyBorder="1"/>
    <xf numFmtId="0" fontId="10" fillId="0" borderId="39" xfId="0" applyFont="1" applyBorder="1"/>
    <xf numFmtId="0" fontId="0" fillId="19" borderId="0" xfId="0" applyFill="1" applyAlignment="1">
      <alignment horizontal="left" vertical="center" wrapText="1"/>
    </xf>
    <xf numFmtId="0" fontId="35" fillId="5" borderId="0" xfId="0" applyFont="1" applyFill="1" applyAlignment="1">
      <alignment horizontal="left" vertical="center" wrapText="1"/>
    </xf>
    <xf numFmtId="0" fontId="11" fillId="9" borderId="0" xfId="0" applyFont="1" applyFill="1" applyAlignment="1">
      <alignment horizontal="center" wrapText="1"/>
    </xf>
    <xf numFmtId="0" fontId="35" fillId="5" borderId="0" xfId="0" applyFont="1" applyFill="1" applyAlignment="1">
      <alignment horizontal="center" wrapText="1"/>
    </xf>
    <xf numFmtId="0" fontId="11" fillId="9" borderId="0" xfId="0" applyFont="1" applyFill="1" applyAlignment="1">
      <alignment horizontal="center" vertical="center" wrapText="1"/>
    </xf>
    <xf numFmtId="0" fontId="35" fillId="5" borderId="0" xfId="0" applyFont="1" applyFill="1" applyAlignment="1">
      <alignment horizontal="center"/>
    </xf>
    <xf numFmtId="0" fontId="10" fillId="0" borderId="40" xfId="0" applyFont="1" applyBorder="1"/>
    <xf numFmtId="0" fontId="10" fillId="0" borderId="41" xfId="0" applyFont="1" applyBorder="1"/>
    <xf numFmtId="0" fontId="10" fillId="0" borderId="41" xfId="0" applyFont="1" applyBorder="1" applyAlignment="1">
      <alignment wrapText="1"/>
    </xf>
    <xf numFmtId="0" fontId="10" fillId="0" borderId="41" xfId="0" applyFont="1" applyBorder="1" applyAlignment="1">
      <alignment horizontal="center"/>
    </xf>
    <xf numFmtId="0" fontId="10" fillId="0" borderId="42" xfId="0" applyFont="1" applyBorder="1"/>
    <xf numFmtId="0" fontId="0" fillId="0" borderId="43" xfId="0" applyBorder="1" applyAlignment="1">
      <alignment vertical="center" wrapText="1"/>
    </xf>
    <xf numFmtId="0" fontId="0" fillId="0" borderId="46" xfId="0" applyBorder="1" applyAlignment="1">
      <alignment vertical="center" wrapText="1"/>
    </xf>
    <xf numFmtId="0" fontId="0" fillId="0" borderId="49" xfId="0" applyBorder="1" applyAlignment="1">
      <alignment vertical="center" wrapText="1"/>
    </xf>
    <xf numFmtId="0" fontId="10" fillId="11" borderId="47" xfId="0" applyFont="1" applyFill="1" applyBorder="1" applyAlignment="1">
      <alignment horizontal="center" vertical="center" wrapText="1"/>
    </xf>
    <xf numFmtId="0" fontId="10" fillId="11" borderId="47" xfId="0" applyFont="1" applyFill="1" applyBorder="1" applyAlignment="1">
      <alignment horizontal="center" vertical="center"/>
    </xf>
    <xf numFmtId="0" fontId="10" fillId="11" borderId="50" xfId="0" applyFont="1" applyFill="1" applyBorder="1" applyAlignment="1">
      <alignment horizontal="center" vertical="center"/>
    </xf>
    <xf numFmtId="0" fontId="10" fillId="11" borderId="44" xfId="0" applyFont="1" applyFill="1" applyBorder="1" applyAlignment="1">
      <alignment horizontal="center" vertical="center" wrapText="1"/>
    </xf>
    <xf numFmtId="0" fontId="12" fillId="11" borderId="33" xfId="0" applyFont="1" applyFill="1" applyBorder="1" applyAlignment="1">
      <alignment horizontal="center" vertical="center"/>
    </xf>
    <xf numFmtId="0" fontId="17" fillId="11" borderId="33" xfId="0" applyFont="1" applyFill="1" applyBorder="1" applyAlignment="1">
      <alignment horizontal="left" vertical="top" wrapText="1"/>
    </xf>
    <xf numFmtId="0" fontId="12" fillId="11" borderId="2" xfId="0" applyFont="1" applyFill="1" applyBorder="1" applyAlignment="1">
      <alignment vertical="top" wrapText="1"/>
    </xf>
    <xf numFmtId="0" fontId="12" fillId="0" borderId="0" xfId="0" applyFont="1" applyAlignment="1">
      <alignment horizontal="left" vertical="center" wrapText="1"/>
    </xf>
    <xf numFmtId="0" fontId="17"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 fillId="0" borderId="0" xfId="0" applyFont="1" applyAlignment="1">
      <alignment horizontal="left" vertical="center"/>
    </xf>
    <xf numFmtId="0" fontId="29" fillId="0" borderId="0" xfId="0" applyFont="1" applyAlignment="1">
      <alignment horizontal="left" vertical="center"/>
    </xf>
    <xf numFmtId="0" fontId="14" fillId="0" borderId="0" xfId="0" applyFont="1" applyAlignment="1">
      <alignment horizontal="left"/>
    </xf>
    <xf numFmtId="0" fontId="14" fillId="0" borderId="0" xfId="0" applyFont="1"/>
    <xf numFmtId="0" fontId="10" fillId="0" borderId="0" xfId="0" applyFont="1" applyAlignment="1">
      <alignment horizontal="right"/>
    </xf>
    <xf numFmtId="0" fontId="15" fillId="0" borderId="0" xfId="0" applyFont="1" applyAlignment="1">
      <alignment horizontal="right"/>
    </xf>
    <xf numFmtId="0" fontId="61" fillId="0" borderId="0" xfId="0" applyFont="1" applyAlignment="1">
      <alignment vertical="center"/>
    </xf>
    <xf numFmtId="0" fontId="67" fillId="0" borderId="0" xfId="0" applyFont="1" applyAlignment="1">
      <alignment horizontal="left" vertical="center" wrapText="1"/>
    </xf>
    <xf numFmtId="0" fontId="10" fillId="0" borderId="53" xfId="0" applyFont="1" applyBorder="1"/>
    <xf numFmtId="0" fontId="10" fillId="0" borderId="53" xfId="0" applyFont="1" applyBorder="1" applyAlignment="1">
      <alignment horizontal="left"/>
    </xf>
    <xf numFmtId="0" fontId="10" fillId="0" borderId="54" xfId="0" applyFont="1" applyBorder="1"/>
    <xf numFmtId="0" fontId="10" fillId="0" borderId="56" xfId="0" applyFont="1" applyBorder="1"/>
    <xf numFmtId="0" fontId="9" fillId="0" borderId="0" xfId="0" applyFont="1" applyAlignment="1">
      <alignment horizontal="left"/>
    </xf>
    <xf numFmtId="0" fontId="65" fillId="10" borderId="0" xfId="0" applyFont="1" applyFill="1" applyAlignment="1">
      <alignment horizontal="left" vertical="center"/>
    </xf>
    <xf numFmtId="0" fontId="27" fillId="0" borderId="56" xfId="0" applyFont="1" applyBorder="1"/>
    <xf numFmtId="0" fontId="10" fillId="0" borderId="57" xfId="0" applyFont="1" applyBorder="1"/>
    <xf numFmtId="0" fontId="10" fillId="0" borderId="58" xfId="0" applyFont="1" applyBorder="1"/>
    <xf numFmtId="0" fontId="10" fillId="0" borderId="58" xfId="0" applyFont="1" applyBorder="1" applyAlignment="1">
      <alignment horizontal="center" wrapText="1"/>
    </xf>
    <xf numFmtId="0" fontId="10" fillId="0" borderId="59" xfId="0" applyFont="1" applyBorder="1"/>
    <xf numFmtId="0" fontId="10" fillId="0" borderId="60" xfId="0" applyFont="1" applyBorder="1"/>
    <xf numFmtId="0" fontId="25" fillId="7" borderId="0" xfId="0" applyFont="1" applyFill="1"/>
    <xf numFmtId="0" fontId="10" fillId="0" borderId="61" xfId="0" applyFont="1" applyBorder="1"/>
    <xf numFmtId="0" fontId="40" fillId="7" borderId="0" xfId="0" applyFont="1" applyFill="1" applyAlignment="1">
      <alignment horizontal="left" vertical="center" wrapText="1"/>
    </xf>
    <xf numFmtId="0" fontId="11" fillId="7" borderId="0" xfId="0" applyFont="1" applyFill="1" applyAlignment="1">
      <alignment horizontal="center" vertical="center" wrapText="1"/>
    </xf>
    <xf numFmtId="0" fontId="26" fillId="20" borderId="0" xfId="0" applyFont="1" applyFill="1"/>
    <xf numFmtId="0" fontId="30" fillId="20" borderId="0" xfId="0" applyFont="1" applyFill="1" applyAlignment="1">
      <alignment horizontal="center" vertical="center" wrapText="1"/>
    </xf>
    <xf numFmtId="9" fontId="30" fillId="20" borderId="0" xfId="0" applyNumberFormat="1" applyFont="1" applyFill="1" applyAlignment="1">
      <alignment horizontal="center" vertical="center" wrapText="1"/>
    </xf>
    <xf numFmtId="0" fontId="12" fillId="0" borderId="61" xfId="0" applyFont="1" applyBorder="1"/>
    <xf numFmtId="0" fontId="10" fillId="0" borderId="62" xfId="0" applyFont="1" applyBorder="1"/>
    <xf numFmtId="0" fontId="10" fillId="0" borderId="63" xfId="0" applyFont="1" applyBorder="1"/>
    <xf numFmtId="0" fontId="10" fillId="0" borderId="63" xfId="0" applyFont="1" applyBorder="1" applyAlignment="1">
      <alignment horizontal="center" wrapText="1"/>
    </xf>
    <xf numFmtId="0" fontId="10" fillId="0" borderId="64" xfId="0" applyFont="1" applyBorder="1"/>
    <xf numFmtId="0" fontId="19" fillId="7" borderId="0" xfId="0" applyFont="1" applyFill="1" applyAlignment="1">
      <alignment horizontal="left" vertical="center" wrapText="1"/>
    </xf>
    <xf numFmtId="0" fontId="71" fillId="15" borderId="0" xfId="0" applyFont="1" applyFill="1"/>
    <xf numFmtId="0" fontId="74" fillId="20" borderId="0" xfId="0" applyFont="1" applyFill="1" applyAlignment="1">
      <alignment horizontal="left" vertical="center" wrapText="1"/>
    </xf>
    <xf numFmtId="0" fontId="11" fillId="8" borderId="0" xfId="0" applyFont="1" applyFill="1" applyAlignment="1">
      <alignment horizontal="center" vertical="center" wrapText="1"/>
    </xf>
    <xf numFmtId="0" fontId="60" fillId="0" borderId="0" xfId="0" applyFont="1" applyAlignment="1">
      <alignment horizontal="center" vertical="center" wrapText="1"/>
    </xf>
    <xf numFmtId="0" fontId="76" fillId="0" borderId="0" xfId="0" applyFont="1"/>
    <xf numFmtId="0" fontId="75" fillId="0" borderId="0" xfId="0" applyFont="1" applyAlignment="1">
      <alignment horizontal="left" vertical="center"/>
    </xf>
    <xf numFmtId="0" fontId="51" fillId="21" borderId="69" xfId="0" applyFont="1" applyFill="1" applyBorder="1" applyAlignment="1">
      <alignment horizontal="left" vertical="center"/>
    </xf>
    <xf numFmtId="0" fontId="17" fillId="0" borderId="71" xfId="0" applyFont="1" applyBorder="1" applyAlignment="1">
      <alignment horizontal="left" vertical="top" wrapText="1"/>
    </xf>
    <xf numFmtId="0" fontId="23" fillId="0" borderId="71" xfId="0" applyFont="1" applyBorder="1" applyAlignment="1">
      <alignment horizontal="left" vertical="top" wrapText="1"/>
    </xf>
    <xf numFmtId="0" fontId="23" fillId="0" borderId="1" xfId="0" applyFont="1" applyBorder="1" applyAlignment="1">
      <alignment horizontal="left" vertical="top" wrapText="1"/>
    </xf>
    <xf numFmtId="0" fontId="17" fillId="0" borderId="1" xfId="0" applyFont="1" applyBorder="1" applyAlignment="1">
      <alignment horizontal="left" vertical="top" wrapText="1"/>
    </xf>
    <xf numFmtId="0" fontId="54" fillId="21" borderId="69" xfId="0" applyFont="1" applyFill="1" applyBorder="1" applyAlignment="1">
      <alignment horizontal="left" vertical="center" wrapText="1"/>
    </xf>
    <xf numFmtId="0" fontId="23" fillId="21" borderId="69" xfId="0" applyFont="1" applyFill="1" applyBorder="1" applyAlignment="1">
      <alignment horizontal="center" vertical="center" wrapText="1"/>
    </xf>
    <xf numFmtId="0" fontId="10" fillId="0" borderId="4" xfId="0" applyFont="1" applyBorder="1"/>
    <xf numFmtId="0" fontId="10" fillId="0" borderId="5" xfId="0" applyFont="1" applyBorder="1"/>
    <xf numFmtId="0" fontId="10" fillId="0" borderId="5" xfId="0" applyFont="1" applyBorder="1" applyAlignment="1">
      <alignment horizontal="left"/>
    </xf>
    <xf numFmtId="0" fontId="10" fillId="0" borderId="72" xfId="0" applyFont="1" applyBorder="1"/>
    <xf numFmtId="0" fontId="10" fillId="0" borderId="9" xfId="0" applyFont="1" applyBorder="1"/>
    <xf numFmtId="0" fontId="10" fillId="14" borderId="0" xfId="0" applyFont="1" applyFill="1"/>
    <xf numFmtId="0" fontId="10" fillId="0" borderId="10" xfId="0" applyFont="1" applyBorder="1"/>
    <xf numFmtId="0" fontId="11" fillId="6" borderId="0" xfId="0" applyFont="1" applyFill="1"/>
    <xf numFmtId="0" fontId="11" fillId="6" borderId="0" xfId="0" applyFont="1" applyFill="1" applyAlignment="1">
      <alignment horizontal="left" vertical="center"/>
    </xf>
    <xf numFmtId="0" fontId="11" fillId="14" borderId="0" xfId="0" applyFont="1" applyFill="1"/>
    <xf numFmtId="0" fontId="11" fillId="0" borderId="10" xfId="0" applyFont="1" applyBorder="1"/>
    <xf numFmtId="0" fontId="78" fillId="0" borderId="0" xfId="0" applyFont="1" applyAlignment="1">
      <alignment horizontal="left" vertical="center"/>
    </xf>
    <xf numFmtId="0" fontId="39" fillId="6" borderId="0" xfId="0" applyFont="1" applyFill="1" applyAlignment="1">
      <alignment wrapText="1"/>
    </xf>
    <xf numFmtId="0" fontId="11" fillId="14" borderId="0" xfId="0" applyFont="1" applyFill="1" applyAlignment="1">
      <alignment horizontal="left" wrapText="1"/>
    </xf>
    <xf numFmtId="0" fontId="2" fillId="14" borderId="0" xfId="0" applyFont="1" applyFill="1" applyAlignment="1">
      <alignment wrapText="1"/>
    </xf>
    <xf numFmtId="0" fontId="34" fillId="6" borderId="0" xfId="0" applyFont="1" applyFill="1" applyAlignment="1">
      <alignment horizontal="left" vertical="center" wrapText="1"/>
    </xf>
    <xf numFmtId="0" fontId="53" fillId="0" borderId="10" xfId="0" applyFont="1" applyBorder="1" applyAlignment="1">
      <alignment horizontal="left" vertical="center" wrapText="1"/>
    </xf>
    <xf numFmtId="0" fontId="12" fillId="0" borderId="0" xfId="0" applyFont="1" applyAlignment="1">
      <alignment horizontal="left" wrapText="1"/>
    </xf>
    <xf numFmtId="0" fontId="12" fillId="0" borderId="10" xfId="0" applyFont="1" applyBorder="1" applyAlignment="1">
      <alignment horizontal="left" wrapText="1"/>
    </xf>
    <xf numFmtId="0" fontId="22" fillId="0" borderId="10" xfId="0" applyFont="1" applyBorder="1" applyAlignment="1">
      <alignment horizontal="left" wrapText="1"/>
    </xf>
    <xf numFmtId="0" fontId="21" fillId="0" borderId="10" xfId="0" applyFont="1" applyBorder="1" applyAlignment="1">
      <alignment horizontal="left" wrapText="1"/>
    </xf>
    <xf numFmtId="0" fontId="21" fillId="0" borderId="10" xfId="0" applyFont="1" applyBorder="1"/>
    <xf numFmtId="0" fontId="12" fillId="0" borderId="10" xfId="0" applyFont="1" applyBorder="1" applyAlignment="1">
      <alignment wrapText="1"/>
    </xf>
    <xf numFmtId="0" fontId="50" fillId="0" borderId="10" xfId="0" applyFont="1" applyBorder="1" applyAlignment="1">
      <alignment horizontal="center" vertical="top" wrapText="1"/>
    </xf>
    <xf numFmtId="0" fontId="52" fillId="0" borderId="10" xfId="0" applyFont="1" applyBorder="1" applyAlignment="1">
      <alignment horizontal="left" vertical="center" wrapText="1"/>
    </xf>
    <xf numFmtId="0" fontId="10" fillId="0" borderId="6" xfId="0" applyFont="1" applyBorder="1"/>
    <xf numFmtId="0" fontId="10" fillId="0" borderId="7" xfId="0" applyFont="1" applyBorder="1"/>
    <xf numFmtId="0" fontId="10" fillId="0" borderId="7" xfId="0" applyFont="1" applyBorder="1" applyAlignment="1">
      <alignment horizontal="left"/>
    </xf>
    <xf numFmtId="0" fontId="10" fillId="0" borderId="8" xfId="0" applyFont="1" applyBorder="1"/>
    <xf numFmtId="0" fontId="34" fillId="6" borderId="0" xfId="0" applyFont="1" applyFill="1" applyAlignment="1">
      <alignment horizontal="center" vertical="center" wrapText="1"/>
    </xf>
    <xf numFmtId="0" fontId="52" fillId="21" borderId="69" xfId="0" applyFont="1" applyFill="1" applyBorder="1" applyAlignment="1">
      <alignment horizontal="left" vertical="top" wrapText="1"/>
    </xf>
    <xf numFmtId="0" fontId="52" fillId="21" borderId="70" xfId="0" applyFont="1" applyFill="1" applyBorder="1" applyAlignment="1">
      <alignment horizontal="left" vertical="top" wrapText="1"/>
    </xf>
    <xf numFmtId="0" fontId="12" fillId="11" borderId="44" xfId="0" applyFont="1" applyFill="1" applyBorder="1" applyAlignment="1">
      <alignment horizontal="center" vertical="center"/>
    </xf>
    <xf numFmtId="0" fontId="81" fillId="0" borderId="0" xfId="0" applyFont="1"/>
    <xf numFmtId="0" fontId="10" fillId="19" borderId="0" xfId="0" applyFont="1" applyFill="1" applyAlignment="1">
      <alignment wrapText="1"/>
    </xf>
    <xf numFmtId="0" fontId="10" fillId="19" borderId="0" xfId="0" applyFont="1" applyFill="1" applyAlignment="1">
      <alignment horizontal="center"/>
    </xf>
    <xf numFmtId="0" fontId="72" fillId="15" borderId="0" xfId="0" applyFont="1" applyFill="1" applyAlignment="1">
      <alignment vertical="center" wrapText="1"/>
    </xf>
    <xf numFmtId="0" fontId="86" fillId="7" borderId="0" xfId="0" applyFont="1" applyFill="1" applyAlignment="1">
      <alignment horizontal="left" vertical="center" wrapText="1"/>
    </xf>
    <xf numFmtId="0" fontId="10" fillId="11" borderId="45" xfId="0" applyFont="1" applyFill="1" applyBorder="1" applyAlignment="1">
      <alignment horizontal="right" vertical="top" wrapText="1"/>
    </xf>
    <xf numFmtId="0" fontId="0" fillId="0" borderId="41" xfId="0" applyBorder="1"/>
    <xf numFmtId="0" fontId="23" fillId="0" borderId="0" xfId="0" applyFont="1" applyAlignment="1">
      <alignment horizontal="left" vertical="top" wrapText="1"/>
    </xf>
    <xf numFmtId="0" fontId="23" fillId="0" borderId="0" xfId="0" applyFont="1" applyAlignment="1">
      <alignment horizontal="center" vertical="center" wrapText="1"/>
    </xf>
    <xf numFmtId="0" fontId="12" fillId="0" borderId="0" xfId="0" applyFont="1" applyAlignment="1">
      <alignment wrapText="1"/>
    </xf>
    <xf numFmtId="0" fontId="10" fillId="14" borderId="0" xfId="0" applyFont="1" applyFill="1" applyAlignment="1">
      <alignment wrapText="1"/>
    </xf>
    <xf numFmtId="0" fontId="10" fillId="14" borderId="0" xfId="0" applyFont="1" applyFill="1" applyAlignment="1">
      <alignment horizontal="center"/>
    </xf>
    <xf numFmtId="0" fontId="0" fillId="14" borderId="0" xfId="0" applyFill="1" applyAlignment="1">
      <alignment horizontal="left" vertical="center" wrapText="1"/>
    </xf>
    <xf numFmtId="0" fontId="35" fillId="14" borderId="0" xfId="0" applyFont="1" applyFill="1" applyAlignment="1">
      <alignment horizontal="left" vertical="center" wrapText="1"/>
    </xf>
    <xf numFmtId="0" fontId="11" fillId="14" borderId="0" xfId="0" applyFont="1" applyFill="1" applyAlignment="1">
      <alignment horizontal="center" wrapText="1"/>
    </xf>
    <xf numFmtId="0" fontId="35" fillId="14" borderId="0" xfId="0" applyFont="1" applyFill="1" applyAlignment="1">
      <alignment horizontal="center"/>
    </xf>
    <xf numFmtId="0" fontId="35" fillId="14" borderId="0" xfId="0" applyFont="1" applyFill="1" applyAlignment="1">
      <alignment horizontal="center" wrapText="1"/>
    </xf>
    <xf numFmtId="0" fontId="11" fillId="14" borderId="0" xfId="0" applyFont="1" applyFill="1" applyAlignment="1">
      <alignment horizontal="center" vertical="center" wrapText="1"/>
    </xf>
    <xf numFmtId="0" fontId="0" fillId="0" borderId="7" xfId="0" applyBorder="1"/>
    <xf numFmtId="0" fontId="1" fillId="0" borderId="43" xfId="0" applyFont="1" applyBorder="1" applyAlignment="1">
      <alignment horizontal="right" vertical="center" wrapText="1"/>
    </xf>
    <xf numFmtId="0" fontId="71" fillId="0" borderId="0" xfId="0" applyFont="1"/>
    <xf numFmtId="0" fontId="73" fillId="0" borderId="0" xfId="0" applyFont="1" applyAlignment="1">
      <alignment horizontal="left" vertical="center" wrapText="1"/>
    </xf>
    <xf numFmtId="0" fontId="72" fillId="0" borderId="0" xfId="0" applyFont="1" applyAlignment="1">
      <alignment vertical="center" wrapText="1"/>
    </xf>
    <xf numFmtId="0" fontId="69" fillId="22" borderId="0" xfId="0" applyFont="1" applyFill="1" applyAlignment="1">
      <alignment horizontal="left" vertical="center"/>
    </xf>
    <xf numFmtId="9" fontId="0" fillId="0" borderId="0" xfId="0" applyNumberFormat="1"/>
    <xf numFmtId="0" fontId="10" fillId="19" borderId="0" xfId="0" applyFont="1" applyFill="1"/>
    <xf numFmtId="0" fontId="11" fillId="19" borderId="0" xfId="0" applyFont="1" applyFill="1"/>
    <xf numFmtId="0" fontId="15" fillId="18" borderId="0" xfId="0" applyFont="1" applyFill="1"/>
    <xf numFmtId="0" fontId="58" fillId="18" borderId="0" xfId="0" applyFont="1" applyFill="1" applyAlignment="1">
      <alignment horizontal="left" vertical="center" wrapText="1"/>
    </xf>
    <xf numFmtId="0" fontId="15" fillId="0" borderId="0" xfId="0" applyFont="1"/>
    <xf numFmtId="0" fontId="88" fillId="0" borderId="0" xfId="0" applyFont="1" applyAlignment="1">
      <alignment horizontal="center" vertical="center" wrapText="1"/>
    </xf>
    <xf numFmtId="0" fontId="13" fillId="9" borderId="0" xfId="0" applyFont="1" applyFill="1"/>
    <xf numFmtId="0" fontId="11" fillId="9" borderId="0" xfId="0" applyFont="1" applyFill="1"/>
    <xf numFmtId="0" fontId="85" fillId="5" borderId="0" xfId="0" applyFont="1" applyFill="1" applyAlignment="1">
      <alignment horizontal="center" wrapText="1"/>
    </xf>
    <xf numFmtId="0" fontId="13" fillId="19" borderId="0" xfId="0" applyFont="1" applyFill="1" applyAlignment="1">
      <alignment horizontal="center" vertical="center" wrapText="1"/>
    </xf>
    <xf numFmtId="0" fontId="0" fillId="0" borderId="39" xfId="0" applyBorder="1"/>
    <xf numFmtId="164" fontId="12" fillId="0" borderId="0" xfId="0" applyNumberFormat="1" applyFont="1" applyAlignment="1">
      <alignment horizontal="center" vertical="center"/>
    </xf>
    <xf numFmtId="164" fontId="0" fillId="0" borderId="39" xfId="0" applyNumberFormat="1" applyBorder="1"/>
    <xf numFmtId="0" fontId="10" fillId="0" borderId="0" xfId="0" applyFont="1" applyAlignment="1">
      <alignment horizontal="left" vertical="top" wrapText="1"/>
    </xf>
    <xf numFmtId="0" fontId="90" fillId="0" borderId="0" xfId="0" applyFont="1" applyAlignment="1">
      <alignment horizontal="center"/>
    </xf>
    <xf numFmtId="0" fontId="92" fillId="0" borderId="0" xfId="0" applyFont="1" applyAlignment="1">
      <alignment horizontal="left" vertical="center" wrapText="1"/>
    </xf>
    <xf numFmtId="0" fontId="11" fillId="0" borderId="0" xfId="0" applyFont="1" applyAlignment="1">
      <alignment horizontal="center" vertical="center" wrapText="1"/>
    </xf>
    <xf numFmtId="0" fontId="93" fillId="18" borderId="74" xfId="0" applyFont="1" applyFill="1" applyBorder="1" applyAlignment="1">
      <alignment horizontal="left" vertical="center" wrapText="1"/>
    </xf>
    <xf numFmtId="0" fontId="94" fillId="18" borderId="74" xfId="0" applyFont="1" applyFill="1" applyBorder="1" applyAlignment="1">
      <alignment horizontal="left" vertical="center"/>
    </xf>
    <xf numFmtId="0" fontId="90" fillId="18" borderId="74" xfId="0" applyFont="1" applyFill="1" applyBorder="1" applyAlignment="1">
      <alignment horizontal="center" vertical="center"/>
    </xf>
    <xf numFmtId="0" fontId="95" fillId="18" borderId="74" xfId="0" applyFont="1" applyFill="1" applyBorder="1" applyAlignment="1">
      <alignment horizontal="center" vertical="center" wrapText="1"/>
    </xf>
    <xf numFmtId="0" fontId="91" fillId="18" borderId="79" xfId="0" applyFont="1" applyFill="1" applyBorder="1" applyAlignment="1">
      <alignment horizontal="left" vertical="center" wrapText="1"/>
    </xf>
    <xf numFmtId="0" fontId="10" fillId="11" borderId="48" xfId="0" applyFont="1" applyFill="1" applyBorder="1" applyAlignment="1">
      <alignment horizontal="right" vertical="top" wrapText="1"/>
    </xf>
    <xf numFmtId="0" fontId="10" fillId="11" borderId="51" xfId="0" applyFont="1" applyFill="1" applyBorder="1" applyAlignment="1">
      <alignment horizontal="right" vertical="top" wrapText="1"/>
    </xf>
    <xf numFmtId="0" fontId="39" fillId="0" borderId="0" xfId="0" applyFont="1" applyAlignment="1">
      <alignment wrapText="1"/>
    </xf>
    <xf numFmtId="0" fontId="11" fillId="0" borderId="0" xfId="0" applyFont="1" applyAlignment="1">
      <alignment horizontal="left" wrapText="1"/>
    </xf>
    <xf numFmtId="0" fontId="2" fillId="0" borderId="0" xfId="0" applyFont="1" applyAlignment="1">
      <alignment wrapText="1"/>
    </xf>
    <xf numFmtId="0" fontId="11" fillId="0" borderId="0" xfId="0" applyFont="1"/>
    <xf numFmtId="0" fontId="11" fillId="16" borderId="0" xfId="0" applyFont="1" applyFill="1"/>
    <xf numFmtId="0" fontId="10" fillId="14" borderId="0" xfId="0" applyFont="1" applyFill="1" applyAlignment="1">
      <alignment horizontal="left"/>
    </xf>
    <xf numFmtId="0" fontId="87" fillId="0" borderId="44" xfId="0" applyFont="1" applyBorder="1" applyAlignment="1">
      <alignment horizontal="left" vertical="center" wrapText="1"/>
    </xf>
    <xf numFmtId="164" fontId="12" fillId="0" borderId="9" xfId="0" applyNumberFormat="1" applyFont="1" applyBorder="1"/>
    <xf numFmtId="164" fontId="12" fillId="0" borderId="60" xfId="0" applyNumberFormat="1" applyFont="1" applyBorder="1"/>
    <xf numFmtId="164" fontId="10" fillId="0" borderId="52" xfId="0" applyNumberFormat="1" applyFont="1" applyBorder="1"/>
    <xf numFmtId="164" fontId="10" fillId="0" borderId="55" xfId="0" applyNumberFormat="1" applyFont="1" applyBorder="1"/>
    <xf numFmtId="164" fontId="27" fillId="0" borderId="55" xfId="0" applyNumberFormat="1" applyFont="1" applyBorder="1"/>
    <xf numFmtId="164" fontId="10" fillId="0" borderId="80" xfId="0" applyNumberFormat="1" applyFont="1" applyBorder="1"/>
    <xf numFmtId="0" fontId="69" fillId="22" borderId="0" xfId="0" applyFont="1" applyFill="1" applyAlignment="1">
      <alignment vertical="center" wrapText="1"/>
    </xf>
    <xf numFmtId="0" fontId="0" fillId="12" borderId="0" xfId="0" applyFill="1"/>
    <xf numFmtId="0" fontId="10" fillId="12" borderId="35" xfId="0" applyFont="1" applyFill="1" applyBorder="1"/>
    <xf numFmtId="0" fontId="10" fillId="12" borderId="36" xfId="0" applyFont="1" applyFill="1" applyBorder="1" applyAlignment="1">
      <alignment wrapText="1"/>
    </xf>
    <xf numFmtId="0" fontId="10" fillId="12" borderId="36" xfId="0" applyFont="1" applyFill="1" applyBorder="1" applyAlignment="1">
      <alignment horizontal="center"/>
    </xf>
    <xf numFmtId="0" fontId="10" fillId="12" borderId="37" xfId="0" applyFont="1" applyFill="1" applyBorder="1"/>
    <xf numFmtId="0" fontId="10" fillId="12" borderId="39" xfId="0" applyFont="1" applyFill="1" applyBorder="1"/>
    <xf numFmtId="164" fontId="10" fillId="12" borderId="39" xfId="0" applyNumberFormat="1" applyFont="1" applyFill="1" applyBorder="1"/>
    <xf numFmtId="0" fontId="0" fillId="12" borderId="42" xfId="0" applyFill="1" applyBorder="1"/>
    <xf numFmtId="0" fontId="10" fillId="12" borderId="38" xfId="0" applyFont="1" applyFill="1" applyBorder="1"/>
    <xf numFmtId="0" fontId="10" fillId="12" borderId="40" xfId="0" applyFont="1" applyFill="1" applyBorder="1"/>
    <xf numFmtId="0" fontId="10" fillId="12" borderId="72" xfId="0" applyFont="1" applyFill="1" applyBorder="1"/>
    <xf numFmtId="0" fontId="10" fillId="12" borderId="10" xfId="0" applyFont="1" applyFill="1" applyBorder="1"/>
    <xf numFmtId="164" fontId="10" fillId="12" borderId="10" xfId="0" applyNumberFormat="1" applyFont="1" applyFill="1" applyBorder="1"/>
    <xf numFmtId="0" fontId="0" fillId="12" borderId="8" xfId="0" applyFill="1" applyBorder="1"/>
    <xf numFmtId="0" fontId="10" fillId="12" borderId="0" xfId="0" applyFont="1" applyFill="1"/>
    <xf numFmtId="0" fontId="10" fillId="12" borderId="4" xfId="0" applyFont="1" applyFill="1" applyBorder="1"/>
    <xf numFmtId="0" fontId="10" fillId="12" borderId="5" xfId="0" applyFont="1" applyFill="1" applyBorder="1" applyAlignment="1">
      <alignment wrapText="1"/>
    </xf>
    <xf numFmtId="0" fontId="10" fillId="12" borderId="5" xfId="0" applyFont="1" applyFill="1" applyBorder="1" applyAlignment="1">
      <alignment horizontal="center"/>
    </xf>
    <xf numFmtId="0" fontId="10" fillId="12" borderId="9" xfId="0" applyFont="1" applyFill="1" applyBorder="1"/>
    <xf numFmtId="0" fontId="10" fillId="12" borderId="6" xfId="0" applyFont="1" applyFill="1" applyBorder="1"/>
    <xf numFmtId="0" fontId="20" fillId="11" borderId="45" xfId="0" applyFont="1" applyFill="1" applyBorder="1" applyAlignment="1">
      <alignment horizontal="right" vertical="top" wrapText="1"/>
    </xf>
    <xf numFmtId="0" fontId="64" fillId="0" borderId="0" xfId="0" applyFont="1" applyAlignment="1">
      <alignment horizontal="center" vertical="center" wrapText="1"/>
    </xf>
    <xf numFmtId="0" fontId="65" fillId="10" borderId="81" xfId="0" applyFont="1" applyFill="1" applyBorder="1" applyAlignment="1">
      <alignment vertical="top"/>
    </xf>
    <xf numFmtId="0" fontId="64" fillId="0" borderId="0" xfId="0" applyFont="1" applyAlignment="1">
      <alignment horizontal="center" vertical="center"/>
    </xf>
    <xf numFmtId="0" fontId="66" fillId="24" borderId="0" xfId="0" applyFont="1" applyFill="1" applyAlignment="1">
      <alignment vertical="center"/>
    </xf>
    <xf numFmtId="0" fontId="66" fillId="24" borderId="0" xfId="0" applyFont="1" applyFill="1" applyAlignment="1">
      <alignment horizontal="left" vertical="center"/>
    </xf>
    <xf numFmtId="0" fontId="97" fillId="24" borderId="0" xfId="0" applyFont="1" applyFill="1" applyAlignment="1">
      <alignment horizontal="center" vertical="center"/>
    </xf>
    <xf numFmtId="0" fontId="67" fillId="24" borderId="0" xfId="0" applyFont="1" applyFill="1" applyAlignment="1">
      <alignment horizontal="center" vertical="center"/>
    </xf>
    <xf numFmtId="0" fontId="66" fillId="24" borderId="0" xfId="0" applyFont="1" applyFill="1" applyAlignment="1">
      <alignment horizontal="center" vertical="center"/>
    </xf>
    <xf numFmtId="0" fontId="10" fillId="0" borderId="69" xfId="0" applyFont="1" applyBorder="1"/>
    <xf numFmtId="164" fontId="10" fillId="0" borderId="82" xfId="0" applyNumberFormat="1" applyFont="1" applyBorder="1"/>
    <xf numFmtId="0" fontId="10" fillId="0" borderId="83" xfId="0" applyFont="1" applyBorder="1"/>
    <xf numFmtId="0" fontId="32" fillId="16" borderId="73" xfId="0" applyFont="1" applyFill="1" applyBorder="1" applyAlignment="1">
      <alignment horizontal="left" vertical="center" wrapText="1"/>
    </xf>
    <xf numFmtId="0" fontId="12" fillId="11" borderId="16" xfId="0" applyFont="1" applyFill="1" applyBorder="1" applyAlignment="1">
      <alignment horizontal="left" vertical="top"/>
    </xf>
    <xf numFmtId="14" fontId="12" fillId="11" borderId="18" xfId="0" applyNumberFormat="1" applyFont="1" applyFill="1" applyBorder="1" applyAlignment="1">
      <alignment horizontal="left" vertical="top"/>
    </xf>
    <xf numFmtId="0" fontId="17" fillId="11" borderId="16" xfId="0" applyFont="1" applyFill="1" applyBorder="1" applyAlignment="1">
      <alignment horizontal="left" vertical="top"/>
    </xf>
    <xf numFmtId="0" fontId="17" fillId="11" borderId="17" xfId="0" applyFont="1" applyFill="1" applyBorder="1" applyAlignment="1">
      <alignment horizontal="left" vertical="top"/>
    </xf>
    <xf numFmtId="0" fontId="17" fillId="11" borderId="18" xfId="0" applyFont="1" applyFill="1" applyBorder="1" applyAlignment="1">
      <alignment horizontal="left" vertical="top"/>
    </xf>
    <xf numFmtId="0" fontId="57" fillId="11" borderId="17" xfId="0" applyFont="1" applyFill="1" applyBorder="1" applyAlignment="1">
      <alignment horizontal="left" vertical="top"/>
    </xf>
    <xf numFmtId="0" fontId="57" fillId="11" borderId="19" xfId="0" applyFont="1" applyFill="1" applyBorder="1" applyAlignment="1">
      <alignment horizontal="left" vertical="top"/>
    </xf>
    <xf numFmtId="0" fontId="17" fillId="11" borderId="20" xfId="0" applyFont="1" applyFill="1" applyBorder="1" applyAlignment="1">
      <alignment horizontal="left" vertical="top"/>
    </xf>
    <xf numFmtId="0" fontId="11" fillId="0" borderId="0" xfId="0" applyFont="1" applyAlignment="1">
      <alignment horizontal="left" vertical="center" wrapText="1"/>
    </xf>
    <xf numFmtId="0" fontId="100" fillId="17" borderId="0" xfId="0" applyFont="1" applyFill="1" applyAlignment="1">
      <alignment vertical="center"/>
    </xf>
    <xf numFmtId="0" fontId="10" fillId="23" borderId="75" xfId="0" applyFont="1" applyFill="1" applyBorder="1" applyAlignment="1">
      <alignment vertical="top"/>
    </xf>
    <xf numFmtId="0" fontId="10" fillId="23" borderId="76" xfId="0" applyFont="1" applyFill="1" applyBorder="1"/>
    <xf numFmtId="0" fontId="10" fillId="23" borderId="76" xfId="0" applyFont="1" applyFill="1" applyBorder="1" applyAlignment="1">
      <alignment horizontal="center"/>
    </xf>
    <xf numFmtId="0" fontId="10" fillId="23" borderId="77" xfId="0" applyFont="1" applyFill="1" applyBorder="1" applyAlignment="1">
      <alignment horizontal="center"/>
    </xf>
    <xf numFmtId="0" fontId="41" fillId="18" borderId="78" xfId="0" applyFont="1" applyFill="1" applyBorder="1"/>
    <xf numFmtId="0" fontId="104" fillId="0" borderId="0" xfId="0" applyFont="1" applyAlignment="1">
      <alignment horizontal="left" vertical="center"/>
    </xf>
    <xf numFmtId="0" fontId="69" fillId="14" borderId="0" xfId="0" applyFont="1" applyFill="1" applyAlignment="1">
      <alignment horizontal="center" vertical="center" wrapText="1"/>
    </xf>
    <xf numFmtId="0" fontId="10" fillId="21" borderId="68" xfId="0" applyFont="1" applyFill="1" applyBorder="1"/>
    <xf numFmtId="0" fontId="23" fillId="11" borderId="47" xfId="0" applyFont="1" applyFill="1" applyBorder="1" applyAlignment="1">
      <alignment horizontal="center" vertical="center" wrapText="1"/>
    </xf>
    <xf numFmtId="0" fontId="12" fillId="11" borderId="47" xfId="0" applyFont="1" applyFill="1" applyBorder="1" applyAlignment="1">
      <alignment horizontal="right" vertical="top" wrapText="1"/>
    </xf>
    <xf numFmtId="0" fontId="12" fillId="0" borderId="1" xfId="0" applyFont="1" applyBorder="1"/>
    <xf numFmtId="0" fontId="23" fillId="11" borderId="84" xfId="0" applyFont="1" applyFill="1" applyBorder="1" applyAlignment="1">
      <alignment horizontal="center" vertical="center" wrapText="1"/>
    </xf>
    <xf numFmtId="0" fontId="12" fillId="0" borderId="1" xfId="0" applyFont="1" applyBorder="1" applyAlignment="1">
      <alignment horizontal="left" wrapText="1"/>
    </xf>
    <xf numFmtId="0" fontId="23" fillId="11" borderId="50" xfId="0" applyFont="1" applyFill="1" applyBorder="1" applyAlignment="1">
      <alignment horizontal="center" vertical="center" wrapText="1"/>
    </xf>
    <xf numFmtId="0" fontId="12" fillId="11" borderId="84" xfId="0" applyFont="1" applyFill="1" applyBorder="1" applyAlignment="1">
      <alignment horizontal="right" vertical="top" wrapText="1"/>
    </xf>
    <xf numFmtId="0" fontId="12" fillId="11" borderId="50" xfId="0" applyFont="1" applyFill="1" applyBorder="1" applyAlignment="1">
      <alignment horizontal="right" vertical="top" wrapText="1"/>
    </xf>
    <xf numFmtId="0" fontId="10" fillId="0" borderId="1" xfId="0" applyFont="1" applyBorder="1"/>
    <xf numFmtId="0" fontId="105" fillId="4" borderId="0" xfId="0" applyFont="1" applyFill="1" applyAlignment="1">
      <alignment horizontal="center" vertical="center"/>
    </xf>
    <xf numFmtId="0" fontId="9" fillId="19" borderId="0" xfId="0" applyFont="1" applyFill="1" applyAlignment="1">
      <alignment vertical="center"/>
    </xf>
    <xf numFmtId="0" fontId="59" fillId="7" borderId="0" xfId="0" applyFont="1" applyFill="1" applyAlignment="1">
      <alignment horizontal="center" vertical="center"/>
    </xf>
    <xf numFmtId="0" fontId="109" fillId="25" borderId="0" xfId="0" applyFont="1" applyFill="1" applyAlignment="1">
      <alignment horizontal="center" vertical="center"/>
    </xf>
    <xf numFmtId="0" fontId="10" fillId="0" borderId="86" xfId="0" applyFont="1" applyBorder="1"/>
    <xf numFmtId="0" fontId="16" fillId="0" borderId="47" xfId="0" applyFont="1" applyBorder="1" applyAlignment="1">
      <alignment horizontal="center" vertical="center" wrapText="1"/>
    </xf>
    <xf numFmtId="9" fontId="17" fillId="0" borderId="47" xfId="1" applyFont="1" applyFill="1" applyBorder="1" applyAlignment="1">
      <alignment horizontal="center" vertical="center" wrapText="1"/>
    </xf>
    <xf numFmtId="9" fontId="96" fillId="0" borderId="47" xfId="1" applyFont="1" applyFill="1" applyBorder="1" applyAlignment="1">
      <alignment horizontal="center" vertical="center" wrapText="1"/>
    </xf>
    <xf numFmtId="0" fontId="12" fillId="12" borderId="47" xfId="0" applyFont="1" applyFill="1" applyBorder="1" applyAlignment="1">
      <alignment horizontal="center" vertical="center"/>
    </xf>
    <xf numFmtId="0" fontId="12" fillId="11" borderId="47" xfId="0" applyFont="1" applyFill="1" applyBorder="1" applyAlignment="1">
      <alignment horizontal="center" vertical="center"/>
    </xf>
    <xf numFmtId="0" fontId="38" fillId="0" borderId="47" xfId="0" applyFont="1" applyBorder="1" applyAlignment="1">
      <alignment horizontal="center" vertical="center" wrapText="1"/>
    </xf>
    <xf numFmtId="0" fontId="16" fillId="0" borderId="87" xfId="0" applyFont="1" applyBorder="1" applyAlignment="1">
      <alignment horizontal="center" vertical="center" wrapText="1"/>
    </xf>
    <xf numFmtId="9" fontId="17" fillId="0" borderId="87" xfId="1" applyFont="1" applyFill="1" applyBorder="1" applyAlignment="1">
      <alignment horizontal="center" vertical="center" wrapText="1"/>
    </xf>
    <xf numFmtId="9" fontId="96" fillId="0" borderId="87" xfId="1" applyFont="1" applyFill="1" applyBorder="1" applyAlignment="1">
      <alignment horizontal="center" vertical="center" wrapText="1"/>
    </xf>
    <xf numFmtId="0" fontId="12" fillId="12" borderId="87" xfId="0" applyFont="1" applyFill="1" applyBorder="1" applyAlignment="1">
      <alignment horizontal="center" vertical="center"/>
    </xf>
    <xf numFmtId="0" fontId="12" fillId="11" borderId="87" xfId="0" applyFont="1" applyFill="1" applyBorder="1" applyAlignment="1">
      <alignment horizontal="center" vertical="center"/>
    </xf>
    <xf numFmtId="0" fontId="17" fillId="11" borderId="88" xfId="0" applyFont="1" applyFill="1" applyBorder="1" applyAlignment="1">
      <alignment horizontal="left" vertical="center" wrapText="1"/>
    </xf>
    <xf numFmtId="0" fontId="17" fillId="11" borderId="89" xfId="0" applyFont="1" applyFill="1" applyBorder="1" applyAlignment="1">
      <alignment horizontal="left" vertical="center" wrapText="1"/>
    </xf>
    <xf numFmtId="0" fontId="16" fillId="0" borderId="90" xfId="0" applyFont="1" applyBorder="1" applyAlignment="1">
      <alignment horizontal="center" vertical="center" wrapText="1"/>
    </xf>
    <xf numFmtId="9" fontId="17" fillId="0" borderId="90" xfId="1" applyFont="1" applyFill="1" applyBorder="1" applyAlignment="1">
      <alignment horizontal="center" vertical="center" wrapText="1"/>
    </xf>
    <xf numFmtId="9" fontId="96" fillId="0" borderId="90" xfId="1" applyFont="1" applyFill="1" applyBorder="1" applyAlignment="1">
      <alignment horizontal="center" vertical="center" wrapText="1"/>
    </xf>
    <xf numFmtId="0" fontId="12" fillId="12" borderId="90" xfId="0" applyFont="1" applyFill="1" applyBorder="1" applyAlignment="1">
      <alignment horizontal="center" vertical="center"/>
    </xf>
    <xf numFmtId="0" fontId="12" fillId="11" borderId="90" xfId="0" applyFont="1" applyFill="1" applyBorder="1" applyAlignment="1">
      <alignment horizontal="center" vertical="center"/>
    </xf>
    <xf numFmtId="0" fontId="17" fillId="11" borderId="91" xfId="0" applyFont="1" applyFill="1" applyBorder="1" applyAlignment="1">
      <alignment horizontal="left" vertical="center" wrapText="1"/>
    </xf>
    <xf numFmtId="0" fontId="42" fillId="7" borderId="0" xfId="0" applyFont="1" applyFill="1" applyAlignment="1">
      <alignment horizontal="center" vertical="center" wrapText="1"/>
    </xf>
    <xf numFmtId="0" fontId="19" fillId="7" borderId="0" xfId="0" applyFont="1" applyFill="1"/>
    <xf numFmtId="0" fontId="11" fillId="6" borderId="0" xfId="0" applyFont="1" applyFill="1" applyAlignment="1">
      <alignment wrapText="1"/>
    </xf>
    <xf numFmtId="0" fontId="75" fillId="0" borderId="0" xfId="0" applyFont="1" applyAlignment="1">
      <alignment vertical="center"/>
    </xf>
    <xf numFmtId="0" fontId="4" fillId="0" borderId="2" xfId="0" applyFont="1" applyBorder="1" applyAlignment="1">
      <alignment horizontal="center" vertical="center"/>
    </xf>
    <xf numFmtId="0" fontId="75" fillId="0" borderId="85" xfId="0" applyFont="1" applyBorder="1" applyAlignment="1">
      <alignment vertical="center"/>
    </xf>
    <xf numFmtId="0" fontId="111" fillId="0" borderId="0" xfId="0" applyFont="1"/>
    <xf numFmtId="0" fontId="75" fillId="0" borderId="47" xfId="0" applyFont="1" applyBorder="1" applyAlignment="1">
      <alignment vertical="center"/>
    </xf>
    <xf numFmtId="0" fontId="75" fillId="27" borderId="0" xfId="0" applyFont="1" applyFill="1" applyAlignment="1">
      <alignment horizontal="center" vertical="center"/>
    </xf>
    <xf numFmtId="0" fontId="12" fillId="11" borderId="18" xfId="0" applyFont="1" applyFill="1" applyBorder="1" applyAlignment="1">
      <alignment horizontal="left" vertical="top" wrapText="1"/>
    </xf>
    <xf numFmtId="0" fontId="17" fillId="11" borderId="15" xfId="0" applyFont="1" applyFill="1" applyBorder="1" applyAlignment="1">
      <alignment horizontal="left" vertical="top"/>
    </xf>
    <xf numFmtId="0" fontId="23" fillId="11" borderId="50" xfId="0" applyFont="1" applyFill="1" applyBorder="1" applyAlignment="1">
      <alignment horizontal="center" vertical="top" wrapText="1"/>
    </xf>
    <xf numFmtId="0" fontId="98" fillId="4" borderId="0" xfId="0" applyFont="1" applyFill="1" applyAlignment="1">
      <alignment horizontal="left" vertical="center" wrapText="1"/>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12" fillId="11" borderId="18" xfId="0" applyFont="1" applyFill="1" applyBorder="1" applyAlignment="1">
      <alignment horizontal="left" vertical="top" wrapText="1"/>
    </xf>
    <xf numFmtId="0" fontId="12" fillId="11" borderId="20" xfId="0" applyFont="1" applyFill="1" applyBorder="1" applyAlignment="1">
      <alignment horizontal="left" vertical="top" wrapText="1"/>
    </xf>
    <xf numFmtId="0" fontId="16" fillId="0" borderId="17" xfId="0" applyFont="1" applyBorder="1" applyAlignment="1">
      <alignment horizontal="left" vertical="top" wrapText="1" indent="1"/>
    </xf>
    <xf numFmtId="0" fontId="16" fillId="0" borderId="19" xfId="0" applyFont="1" applyBorder="1" applyAlignment="1">
      <alignment horizontal="left" vertical="top" wrapText="1" indent="1"/>
    </xf>
    <xf numFmtId="0" fontId="98" fillId="8" borderId="0" xfId="0" applyFont="1" applyFill="1" applyAlignment="1">
      <alignment vertical="center" wrapText="1"/>
    </xf>
    <xf numFmtId="0" fontId="11" fillId="8" borderId="0" xfId="0" applyFont="1" applyFill="1" applyAlignment="1">
      <alignment horizontal="left" vertical="center"/>
    </xf>
    <xf numFmtId="0" fontId="47" fillId="13" borderId="0" xfId="0" applyFont="1" applyFill="1" applyAlignment="1">
      <alignment horizontal="left" vertical="center" wrapText="1" indent="1"/>
    </xf>
    <xf numFmtId="0" fontId="59" fillId="19" borderId="0" xfId="0" applyFont="1" applyFill="1" applyAlignment="1">
      <alignment horizontal="center" vertical="center"/>
    </xf>
    <xf numFmtId="0" fontId="88" fillId="0" borderId="0" xfId="0" applyFont="1" applyAlignment="1">
      <alignment horizontal="center" vertical="center" wrapText="1"/>
    </xf>
    <xf numFmtId="0" fontId="59" fillId="5" borderId="0" xfId="0" applyFont="1" applyFill="1" applyAlignment="1">
      <alignment horizontal="left" vertical="center" wrapText="1"/>
    </xf>
    <xf numFmtId="0" fontId="98" fillId="5" borderId="0" xfId="0" applyFont="1" applyFill="1" applyAlignment="1">
      <alignment horizontal="left" vertical="center" wrapText="1"/>
    </xf>
    <xf numFmtId="0" fontId="58" fillId="18" borderId="0" xfId="0" applyFont="1" applyFill="1" applyAlignment="1">
      <alignment horizontal="left" vertical="center" wrapText="1"/>
    </xf>
    <xf numFmtId="0" fontId="100" fillId="16" borderId="0" xfId="0" applyFont="1" applyFill="1" applyAlignment="1">
      <alignment horizontal="left" vertical="center" wrapText="1"/>
    </xf>
    <xf numFmtId="0" fontId="110" fillId="16" borderId="0" xfId="0" applyFont="1" applyFill="1" applyAlignment="1">
      <alignment horizontal="left" vertical="center" wrapText="1"/>
    </xf>
    <xf numFmtId="0" fontId="59" fillId="6" borderId="0" xfId="0" applyFont="1" applyFill="1" applyAlignment="1">
      <alignment horizontal="left" vertical="center"/>
    </xf>
    <xf numFmtId="0" fontId="98" fillId="6" borderId="0" xfId="0" applyFont="1" applyFill="1" applyAlignment="1">
      <alignment horizontal="left" vertical="center"/>
    </xf>
    <xf numFmtId="0" fontId="32" fillId="16" borderId="1" xfId="0" applyFont="1" applyFill="1" applyBorder="1" applyAlignment="1">
      <alignment horizontal="left" vertical="center" wrapText="1"/>
    </xf>
    <xf numFmtId="0" fontId="108" fillId="16" borderId="65" xfId="0" applyFont="1" applyFill="1" applyBorder="1" applyAlignment="1">
      <alignment horizontal="left" vertical="top" wrapText="1"/>
    </xf>
    <xf numFmtId="0" fontId="108" fillId="16" borderId="66" xfId="0" applyFont="1" applyFill="1" applyBorder="1" applyAlignment="1">
      <alignment horizontal="left" vertical="top" wrapText="1"/>
    </xf>
    <xf numFmtId="0" fontId="108" fillId="16" borderId="67" xfId="0" applyFont="1" applyFill="1" applyBorder="1" applyAlignment="1">
      <alignment horizontal="left" vertical="top" wrapText="1"/>
    </xf>
    <xf numFmtId="0" fontId="32" fillId="16" borderId="73" xfId="0" applyFont="1" applyFill="1" applyBorder="1" applyAlignment="1">
      <alignment horizontal="left" vertical="center" wrapText="1"/>
    </xf>
    <xf numFmtId="0" fontId="34" fillId="6" borderId="0" xfId="0" applyFont="1" applyFill="1" applyAlignment="1">
      <alignment vertical="center" wrapText="1"/>
    </xf>
    <xf numFmtId="0" fontId="109" fillId="26" borderId="0" xfId="0" applyFont="1" applyFill="1" applyAlignment="1">
      <alignment horizontal="center" vertical="center"/>
    </xf>
    <xf numFmtId="0" fontId="59" fillId="7" borderId="0" xfId="0" applyFont="1" applyFill="1" applyAlignment="1">
      <alignment horizontal="left" vertical="center" wrapText="1"/>
    </xf>
    <xf numFmtId="0" fontId="70" fillId="7" borderId="0" xfId="2" applyFont="1" applyFill="1" applyBorder="1" applyAlignment="1">
      <alignment horizontal="center" vertical="center" wrapText="1"/>
    </xf>
    <xf numFmtId="0" fontId="42" fillId="7" borderId="0" xfId="0" applyFont="1" applyFill="1" applyAlignment="1">
      <alignment horizontal="center" vertical="center" wrapText="1"/>
    </xf>
    <xf numFmtId="0" fontId="106" fillId="15" borderId="0" xfId="0" applyFont="1" applyFill="1" applyAlignment="1">
      <alignment horizontal="left" vertical="center" wrapText="1"/>
    </xf>
    <xf numFmtId="0" fontId="68" fillId="0" borderId="0" xfId="0" applyFont="1" applyAlignment="1">
      <alignment horizontal="left" vertical="center" wrapText="1"/>
    </xf>
    <xf numFmtId="0" fontId="69" fillId="22" borderId="0" xfId="0" applyFont="1" applyFill="1" applyAlignment="1">
      <alignment horizontal="left" vertical="center"/>
    </xf>
    <xf numFmtId="0" fontId="9" fillId="22" borderId="0" xfId="0" applyFont="1" applyFill="1" applyAlignment="1">
      <alignment horizontal="center" vertical="center"/>
    </xf>
    <xf numFmtId="0" fontId="69" fillId="22" borderId="0" xfId="0" applyFont="1" applyFill="1" applyAlignment="1">
      <alignment horizontal="center" vertical="center" wrapText="1"/>
    </xf>
    <xf numFmtId="0" fontId="69" fillId="22" borderId="0" xfId="0" applyFont="1" applyFill="1" applyAlignment="1">
      <alignment horizontal="center" vertical="center"/>
    </xf>
    <xf numFmtId="0" fontId="15" fillId="0" borderId="0" xfId="0" applyFont="1" applyAlignment="1">
      <alignment horizontal="left" vertical="center" wrapText="1"/>
    </xf>
    <xf numFmtId="0" fontId="55" fillId="5" borderId="0" xfId="0" applyFont="1" applyFill="1" applyAlignment="1">
      <alignment horizontal="center" vertical="center" wrapText="1"/>
    </xf>
    <xf numFmtId="0" fontId="11" fillId="14" borderId="0" xfId="0" applyFont="1" applyFill="1" applyAlignment="1">
      <alignment horizontal="center" vertical="center" wrapText="1"/>
    </xf>
    <xf numFmtId="0" fontId="55" fillId="14" borderId="0" xfId="0" applyFont="1" applyFill="1" applyAlignment="1">
      <alignment horizontal="center" vertical="center" wrapText="1"/>
    </xf>
    <xf numFmtId="0" fontId="69" fillId="14" borderId="0" xfId="0" applyFont="1" applyFill="1" applyAlignment="1">
      <alignment horizontal="center" vertical="center" wrapText="1"/>
    </xf>
  </cellXfs>
  <cellStyles count="3">
    <cellStyle name="Heading 4" xfId="2" builtinId="19"/>
    <cellStyle name="Normal" xfId="0" builtinId="0"/>
    <cellStyle name="Per cent" xfId="1" builtinId="5"/>
  </cellStyles>
  <dxfs count="44">
    <dxf>
      <font>
        <strike/>
        <color theme="0" tint="-4.9989318521683403E-2"/>
      </font>
      <fill>
        <patternFill>
          <bgColor theme="1" tint="0.499984740745262"/>
        </patternFill>
      </fill>
    </dxf>
    <dxf>
      <font>
        <strike/>
        <color theme="0" tint="-0.24994659260841701"/>
      </font>
      <fill>
        <patternFill>
          <bgColor theme="6" tint="0.7999816888943144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theme="9"/>
      </font>
      <fill>
        <patternFill>
          <bgColor rgb="FFF0F6EC"/>
        </patternFill>
      </fill>
    </dxf>
    <dxf>
      <font>
        <color rgb="FFFF0000"/>
      </font>
      <fill>
        <patternFill>
          <bgColor rgb="FFFFE5E5"/>
        </patternFill>
      </fill>
    </dxf>
    <dxf>
      <font>
        <color rgb="FFFFC000"/>
      </font>
      <fill>
        <patternFill>
          <bgColor rgb="FFFFF8E5"/>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strike/>
        <color theme="0" tint="-4.9989318521683403E-2"/>
      </font>
      <fill>
        <patternFill>
          <bgColor theme="1" tint="0.499984740745262"/>
        </patternFill>
      </fill>
    </dxf>
    <dxf>
      <font>
        <color theme="0" tint="-4.9989318521683403E-2"/>
      </font>
      <fill>
        <patternFill>
          <bgColor theme="1" tint="0.499984740745262"/>
        </patternFill>
      </fill>
    </dxf>
    <dxf>
      <font>
        <strike/>
        <color theme="0"/>
      </font>
      <fill>
        <patternFill>
          <bgColor theme="1" tint="0.499984740745262"/>
        </patternFill>
      </fill>
    </dxf>
    <dxf>
      <font>
        <color rgb="FF00B050"/>
      </font>
      <fill>
        <patternFill>
          <bgColor rgb="FFF0F6EC"/>
        </patternFill>
      </fill>
    </dxf>
    <dxf>
      <font>
        <color rgb="FFFFC000"/>
      </font>
      <fill>
        <patternFill>
          <bgColor rgb="FFFFF8E5"/>
        </patternFill>
      </fill>
    </dxf>
    <dxf>
      <font>
        <color rgb="FFFF0000"/>
      </font>
      <fill>
        <patternFill>
          <bgColor rgb="FFFFE5E5"/>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font>
      <fill>
        <patternFill>
          <bgColor theme="1" tint="0.499984740745262"/>
        </patternFill>
      </fill>
    </dxf>
    <dxf>
      <font>
        <strike/>
        <color theme="0"/>
      </font>
      <fill>
        <patternFill>
          <bgColor theme="1" tint="0.499984740745262"/>
        </patternFill>
      </fill>
    </dxf>
    <dxf>
      <font>
        <color rgb="FFFFC000"/>
      </font>
      <fill>
        <patternFill>
          <bgColor rgb="FFFFF8E5"/>
        </patternFill>
      </fill>
    </dxf>
    <dxf>
      <font>
        <color rgb="FFFF0000"/>
      </font>
      <fill>
        <patternFill>
          <bgColor rgb="FFFFE5E5"/>
        </patternFill>
      </fill>
    </dxf>
    <dxf>
      <font>
        <color rgb="FF00B050"/>
      </font>
      <fill>
        <patternFill>
          <bgColor rgb="FFF0F6EC"/>
        </patternFill>
      </fill>
    </dxf>
    <dxf>
      <font>
        <strike/>
        <color theme="0" tint="-4.9989318521683403E-2"/>
      </font>
      <fill>
        <patternFill>
          <bgColor theme="1" tint="0.499984740745262"/>
        </patternFill>
      </fill>
    </dxf>
    <dxf>
      <font>
        <strike/>
        <color theme="0" tint="-0.14996795556505021"/>
      </font>
      <fill>
        <patternFill>
          <bgColor theme="1" tint="0.499984740745262"/>
        </patternFill>
      </fill>
    </dxf>
    <dxf>
      <font>
        <strike/>
        <color theme="0" tint="-4.9989318521683403E-2"/>
      </font>
      <fill>
        <patternFill>
          <bgColor theme="1" tint="0.499984740745262"/>
        </patternFill>
      </fill>
    </dxf>
  </dxfs>
  <tableStyles count="0" defaultTableStyle="TableStyleMedium2" defaultPivotStyle="PivotStyleLight16"/>
  <colors>
    <mruColors>
      <color rgb="FFFFE5E5"/>
      <color rgb="FFFFF8E5"/>
      <color rgb="FFF0F6EC"/>
      <color rgb="FFCDE9E6"/>
      <color rgb="FF009788"/>
      <color rgb="FF32869C"/>
      <color rgb="FF9D28B1"/>
      <color rgb="FFFFE599"/>
      <color rgb="FFEBD5F0"/>
      <color rgb="FFD6E7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163222</xdr:colOff>
      <xdr:row>2</xdr:row>
      <xdr:rowOff>975</xdr:rowOff>
    </xdr:from>
    <xdr:to>
      <xdr:col>22</xdr:col>
      <xdr:colOff>0</xdr:colOff>
      <xdr:row>31</xdr:row>
      <xdr:rowOff>120952</xdr:rowOff>
    </xdr:to>
    <xdr:sp macro="" textlink="">
      <xdr:nvSpPr>
        <xdr:cNvPr id="11" name="Rectangle 10">
          <a:extLst>
            <a:ext uri="{FF2B5EF4-FFF2-40B4-BE49-F238E27FC236}">
              <a16:creationId xmlns:a16="http://schemas.microsoft.com/office/drawing/2014/main" id="{25FCEA0D-AC1F-F6FF-B316-ABE7AF8D2FFF}"/>
            </a:ext>
          </a:extLst>
        </xdr:cNvPr>
        <xdr:cNvSpPr/>
      </xdr:nvSpPr>
      <xdr:spPr>
        <a:xfrm>
          <a:off x="374889" y="1200419"/>
          <a:ext cx="13675746" cy="5754343"/>
        </a:xfrm>
        <a:prstGeom prst="rect">
          <a:avLst/>
        </a:prstGeom>
        <a:solidFill>
          <a:schemeClr val="bg1">
            <a:lumMod val="95000"/>
            <a:alpha val="38313"/>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268718</xdr:colOff>
      <xdr:row>3</xdr:row>
      <xdr:rowOff>0</xdr:rowOff>
    </xdr:from>
    <xdr:to>
      <xdr:col>21</xdr:col>
      <xdr:colOff>572716</xdr:colOff>
      <xdr:row>9</xdr:row>
      <xdr:rowOff>45720</xdr:rowOff>
    </xdr:to>
    <xdr:sp macro="" textlink="">
      <xdr:nvSpPr>
        <xdr:cNvPr id="2" name="TextBox 1">
          <a:extLst>
            <a:ext uri="{FF2B5EF4-FFF2-40B4-BE49-F238E27FC236}">
              <a16:creationId xmlns:a16="http://schemas.microsoft.com/office/drawing/2014/main" id="{20851C8D-423D-A36A-6797-9D8E99C5628A}"/>
            </a:ext>
          </a:extLst>
        </xdr:cNvPr>
        <xdr:cNvSpPr txBox="1"/>
      </xdr:nvSpPr>
      <xdr:spPr>
        <a:xfrm>
          <a:off x="466838" y="548640"/>
          <a:ext cx="13608518" cy="1249680"/>
        </a:xfrm>
        <a:prstGeom prst="rect">
          <a:avLst/>
        </a:prstGeom>
        <a:solidFill>
          <a:schemeClr val="tx2"/>
        </a:solidFill>
        <a:ln w="952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4000">
              <a:solidFill>
                <a:schemeClr val="bg1"/>
              </a:solidFill>
              <a:effectLst/>
              <a:latin typeface="+mn-lt"/>
              <a:ea typeface="+mn-ea"/>
              <a:cs typeface="+mn-cs"/>
            </a:rPr>
            <a:t>ClimateFIRST</a:t>
          </a:r>
          <a:r>
            <a:rPr lang="en-GB" sz="4000" baseline="0">
              <a:solidFill>
                <a:schemeClr val="bg1"/>
              </a:solidFill>
              <a:effectLst/>
              <a:latin typeface="+mn-lt"/>
              <a:ea typeface="+mn-ea"/>
              <a:cs typeface="+mn-cs"/>
            </a:rPr>
            <a:t>                                                                      </a:t>
          </a:r>
          <a:r>
            <a:rPr lang="en-GB" sz="2400" baseline="0">
              <a:solidFill>
                <a:schemeClr val="bg1"/>
              </a:solidFill>
              <a:effectLst/>
              <a:latin typeface="+mn-lt"/>
              <a:ea typeface="+mn-ea"/>
              <a:cs typeface="+mn-cs"/>
            </a:rPr>
            <a:t>Climate framework to improve the resilience of sanitation technologies</a:t>
          </a:r>
          <a:endParaRPr lang="en-GB" sz="4000">
            <a:solidFill>
              <a:schemeClr val="bg1"/>
            </a:solidFill>
            <a:effectLst/>
            <a:latin typeface="+mn-lt"/>
            <a:ea typeface="+mn-ea"/>
            <a:cs typeface="+mn-cs"/>
          </a:endParaRPr>
        </a:p>
      </xdr:txBody>
    </xdr:sp>
    <xdr:clientData/>
  </xdr:twoCellAnchor>
  <xdr:twoCellAnchor>
    <xdr:from>
      <xdr:col>1</xdr:col>
      <xdr:colOff>262762</xdr:colOff>
      <xdr:row>10</xdr:row>
      <xdr:rowOff>47393</xdr:rowOff>
    </xdr:from>
    <xdr:to>
      <xdr:col>21</xdr:col>
      <xdr:colOff>574862</xdr:colOff>
      <xdr:row>31</xdr:row>
      <xdr:rowOff>21042</xdr:rowOff>
    </xdr:to>
    <xdr:grpSp>
      <xdr:nvGrpSpPr>
        <xdr:cNvPr id="7" name="Group 6">
          <a:extLst>
            <a:ext uri="{FF2B5EF4-FFF2-40B4-BE49-F238E27FC236}">
              <a16:creationId xmlns:a16="http://schemas.microsoft.com/office/drawing/2014/main" id="{00723393-14C6-B486-F90C-3AEF21B9065A}"/>
            </a:ext>
          </a:extLst>
        </xdr:cNvPr>
        <xdr:cNvGrpSpPr/>
      </xdr:nvGrpSpPr>
      <xdr:grpSpPr>
        <a:xfrm>
          <a:off x="462333" y="1970536"/>
          <a:ext cx="13338672" cy="4055792"/>
          <a:chOff x="319912" y="2833200"/>
          <a:chExt cx="13774303" cy="3896311"/>
        </a:xfrm>
      </xdr:grpSpPr>
      <xdr:sp macro="" textlink="">
        <xdr:nvSpPr>
          <xdr:cNvPr id="4" name="Rectangle 3">
            <a:extLst>
              <a:ext uri="{FF2B5EF4-FFF2-40B4-BE49-F238E27FC236}">
                <a16:creationId xmlns:a16="http://schemas.microsoft.com/office/drawing/2014/main" id="{9BF01074-D8C0-E742-89AA-42A95ACFA3F1}"/>
              </a:ext>
            </a:extLst>
          </xdr:cNvPr>
          <xdr:cNvSpPr/>
        </xdr:nvSpPr>
        <xdr:spPr>
          <a:xfrm>
            <a:off x="3479864" y="5046017"/>
            <a:ext cx="7463725"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9" name="Rectangle: Diagonal Corners Rounded 18">
            <a:extLst>
              <a:ext uri="{FF2B5EF4-FFF2-40B4-BE49-F238E27FC236}">
                <a16:creationId xmlns:a16="http://schemas.microsoft.com/office/drawing/2014/main" id="{842A4465-61CB-447D-A5F5-8FACAB64E3C2}"/>
              </a:ext>
            </a:extLst>
          </xdr:cNvPr>
          <xdr:cNvSpPr/>
        </xdr:nvSpPr>
        <xdr:spPr>
          <a:xfrm>
            <a:off x="3680244" y="5368874"/>
            <a:ext cx="3288777" cy="1142374"/>
          </a:xfrm>
          <a:prstGeom prst="roundRect">
            <a:avLst/>
          </a:prstGeom>
          <a:solidFill>
            <a:srgbClr val="EBD5F0"/>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9D28B1"/>
                </a:solidFill>
                <a:latin typeface="Arial" panose="020B0604020202020204" pitchFamily="34" charset="0"/>
                <a:cs typeface="Arial" panose="020B0604020202020204" pitchFamily="34" charset="0"/>
              </a:rPr>
              <a:t>5. Overall</a:t>
            </a:r>
            <a:r>
              <a:rPr lang="en-AU" sz="1600" b="1" baseline="0">
                <a:solidFill>
                  <a:srgbClr val="9D28B1"/>
                </a:solidFill>
                <a:latin typeface="Arial" panose="020B0604020202020204" pitchFamily="34" charset="0"/>
                <a:cs typeface="Arial" panose="020B0604020202020204" pitchFamily="34" charset="0"/>
              </a:rPr>
              <a:t> resilience</a:t>
            </a:r>
          </a:p>
          <a:p>
            <a:pPr algn="ctr"/>
            <a:endParaRPr lang="en-AU" sz="1000" b="1" baseline="0">
              <a:solidFill>
                <a:srgbClr val="9D28B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Consider the</a:t>
            </a:r>
            <a:r>
              <a:rPr lang="en-AU" sz="1100" i="1" baseline="0">
                <a:solidFill>
                  <a:schemeClr val="tx1"/>
                </a:solidFill>
                <a:latin typeface="Arial" panose="020B0604020202020204" pitchFamily="34" charset="0"/>
                <a:cs typeface="Arial" panose="020B0604020202020204" pitchFamily="34" charset="0"/>
              </a:rPr>
              <a:t> overall resilience of the sanitation technology</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9D28B1"/>
              </a:solidFill>
              <a:latin typeface="Arial" panose="020B0604020202020204" pitchFamily="34" charset="0"/>
              <a:cs typeface="Arial" panose="020B0604020202020204" pitchFamily="34" charset="0"/>
            </a:endParaRPr>
          </a:p>
        </xdr:txBody>
      </xdr:sp>
      <xdr:sp macro="" textlink="">
        <xdr:nvSpPr>
          <xdr:cNvPr id="14" name="Rectangle: Diagonal Corners Rounded 13">
            <a:extLst>
              <a:ext uri="{FF2B5EF4-FFF2-40B4-BE49-F238E27FC236}">
                <a16:creationId xmlns:a16="http://schemas.microsoft.com/office/drawing/2014/main" id="{80F9C262-318C-483C-8711-7C16DF366350}"/>
              </a:ext>
            </a:extLst>
          </xdr:cNvPr>
          <xdr:cNvSpPr/>
        </xdr:nvSpPr>
        <xdr:spPr>
          <a:xfrm>
            <a:off x="7132239" y="5359689"/>
            <a:ext cx="3561167" cy="1142374"/>
          </a:xfrm>
          <a:prstGeom prst="roundRect">
            <a:avLst/>
          </a:prstGeom>
          <a:solidFill>
            <a:srgbClr val="FBD2E0"/>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EB1D62"/>
                </a:solidFill>
                <a:latin typeface="Arial" panose="020B0604020202020204" pitchFamily="34" charset="0"/>
                <a:cs typeface="Arial" panose="020B0604020202020204" pitchFamily="34" charset="0"/>
              </a:rPr>
              <a:t>Summary reports</a:t>
            </a:r>
          </a:p>
          <a:p>
            <a:pPr algn="ctr"/>
            <a:endParaRPr lang="en-AU" sz="1000" b="1">
              <a:solidFill>
                <a:srgbClr val="EB1D62"/>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The last four tabs</a:t>
            </a:r>
            <a:r>
              <a:rPr lang="en-AU" sz="1100" i="1" baseline="0">
                <a:solidFill>
                  <a:schemeClr val="tx1"/>
                </a:solidFill>
                <a:latin typeface="Arial" panose="020B0604020202020204" pitchFamily="34" charset="0"/>
                <a:cs typeface="Arial" panose="020B0604020202020204" pitchFamily="34" charset="0"/>
              </a:rPr>
              <a:t> summarise: (i) the resilience scores, (ii) impacts of hazards, (iii) design strengths, and (iv) design improvements </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38" name="Rectangle 37">
            <a:extLst>
              <a:ext uri="{FF2B5EF4-FFF2-40B4-BE49-F238E27FC236}">
                <a16:creationId xmlns:a16="http://schemas.microsoft.com/office/drawing/2014/main" id="{FC046893-9D83-432F-82DA-0D78139DE0FA}"/>
              </a:ext>
            </a:extLst>
          </xdr:cNvPr>
          <xdr:cNvSpPr/>
        </xdr:nvSpPr>
        <xdr:spPr>
          <a:xfrm>
            <a:off x="319912" y="2833200"/>
            <a:ext cx="13774303"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8" name="Rectangle: Diagonal Corners Rounded 17">
            <a:extLst>
              <a:ext uri="{FF2B5EF4-FFF2-40B4-BE49-F238E27FC236}">
                <a16:creationId xmlns:a16="http://schemas.microsoft.com/office/drawing/2014/main" id="{F07CE558-AA60-4DC1-82A5-23B0ABE66EC6}"/>
              </a:ext>
            </a:extLst>
          </xdr:cNvPr>
          <xdr:cNvSpPr/>
        </xdr:nvSpPr>
        <xdr:spPr>
          <a:xfrm>
            <a:off x="430974" y="3125774"/>
            <a:ext cx="3223374" cy="1084731"/>
          </a:xfrm>
          <a:prstGeom prst="roundRect">
            <a:avLst/>
          </a:prstGeom>
          <a:solidFill>
            <a:srgbClr val="CDE9E6"/>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009788"/>
                </a:solidFill>
                <a:latin typeface="Arial" panose="020B0604020202020204" pitchFamily="34" charset="0"/>
                <a:cs typeface="Arial" panose="020B0604020202020204" pitchFamily="34" charset="0"/>
              </a:rPr>
              <a:t>1. Scoping</a:t>
            </a:r>
          </a:p>
          <a:p>
            <a:pPr marL="0" marR="0" lvl="0" indent="0" algn="ctr" defTabSz="914400" eaLnBrk="1" fontAlgn="auto" latinLnBrk="0" hangingPunct="1">
              <a:lnSpc>
                <a:spcPct val="100000"/>
              </a:lnSpc>
              <a:spcBef>
                <a:spcPts val="0"/>
              </a:spcBef>
              <a:spcAft>
                <a:spcPts val="0"/>
              </a:spcAft>
              <a:buClrTx/>
              <a:buSzTx/>
              <a:buFontTx/>
              <a:buNone/>
              <a:tabLst/>
              <a:defRPr/>
            </a:pPr>
            <a:endParaRPr lang="en-AU" sz="1100" i="1">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Define what parts of the sanitation technology are to be included in the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009788"/>
              </a:solidFill>
              <a:latin typeface="Arial" panose="020B0604020202020204" pitchFamily="34" charset="0"/>
              <a:cs typeface="Arial" panose="020B0604020202020204" pitchFamily="34" charset="0"/>
            </a:endParaRPr>
          </a:p>
        </xdr:txBody>
      </xdr:sp>
      <xdr:sp macro="" textlink="">
        <xdr:nvSpPr>
          <xdr:cNvPr id="17" name="Rectangle: Diagonal Corners Rounded 16">
            <a:extLst>
              <a:ext uri="{FF2B5EF4-FFF2-40B4-BE49-F238E27FC236}">
                <a16:creationId xmlns:a16="http://schemas.microsoft.com/office/drawing/2014/main" id="{2490A227-A0AD-4F30-A124-9373A064F049}"/>
              </a:ext>
            </a:extLst>
          </xdr:cNvPr>
          <xdr:cNvSpPr/>
        </xdr:nvSpPr>
        <xdr:spPr>
          <a:xfrm>
            <a:off x="3775984" y="3125774"/>
            <a:ext cx="3296355" cy="1088472"/>
          </a:xfrm>
          <a:prstGeom prst="roundRect">
            <a:avLst/>
          </a:prstGeom>
          <a:solidFill>
            <a:srgbClr val="D6E7EB"/>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32869C"/>
                </a:solidFill>
                <a:latin typeface="Arial" panose="020B0604020202020204" pitchFamily="34" charset="0"/>
                <a:cs typeface="Arial" panose="020B0604020202020204" pitchFamily="34" charset="0"/>
              </a:rPr>
              <a:t>2. Hazardous</a:t>
            </a:r>
            <a:r>
              <a:rPr lang="en-AU" sz="1600" b="1" baseline="0">
                <a:solidFill>
                  <a:srgbClr val="32869C"/>
                </a:solidFill>
                <a:latin typeface="Arial" panose="020B0604020202020204" pitchFamily="34" charset="0"/>
                <a:cs typeface="Arial" panose="020B0604020202020204" pitchFamily="34" charset="0"/>
              </a:rPr>
              <a:t> events &amp; trends</a:t>
            </a:r>
          </a:p>
          <a:p>
            <a:pPr algn="ctr"/>
            <a:endParaRPr lang="en-AU" sz="1100" b="1">
              <a:solidFill>
                <a:srgbClr val="32869C"/>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Indicate</a:t>
            </a:r>
            <a:r>
              <a:rPr lang="en-AU" sz="1100" i="1" baseline="0">
                <a:solidFill>
                  <a:schemeClr val="tx1"/>
                </a:solidFill>
                <a:latin typeface="Arial" panose="020B0604020202020204" pitchFamily="34" charset="0"/>
                <a:cs typeface="Arial" panose="020B0604020202020204" pitchFamily="34" charset="0"/>
              </a:rPr>
              <a:t> which climate related hazardous events or trends are relevant to your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32869C"/>
              </a:solidFill>
              <a:latin typeface="Arial" panose="020B0604020202020204" pitchFamily="34" charset="0"/>
              <a:cs typeface="Arial" panose="020B0604020202020204" pitchFamily="34" charset="0"/>
            </a:endParaRPr>
          </a:p>
        </xdr:txBody>
      </xdr:sp>
      <xdr:sp macro="" textlink="">
        <xdr:nvSpPr>
          <xdr:cNvPr id="15" name="Rectangle: Diagonal Corners Rounded 14">
            <a:extLst>
              <a:ext uri="{FF2B5EF4-FFF2-40B4-BE49-F238E27FC236}">
                <a16:creationId xmlns:a16="http://schemas.microsoft.com/office/drawing/2014/main" id="{58AA5C7B-6FA9-4F1D-80DF-84D9BA83586C}"/>
              </a:ext>
            </a:extLst>
          </xdr:cNvPr>
          <xdr:cNvSpPr/>
        </xdr:nvSpPr>
        <xdr:spPr>
          <a:xfrm>
            <a:off x="10589094" y="3114169"/>
            <a:ext cx="3380049" cy="1084731"/>
          </a:xfrm>
          <a:prstGeom prst="roundRect">
            <a:avLst/>
          </a:prstGeom>
          <a:solidFill>
            <a:schemeClr val="bg2">
              <a:lumMod val="20000"/>
              <a:lumOff val="80000"/>
            </a:schemeClr>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bg2"/>
                </a:solidFill>
                <a:latin typeface="Arial" panose="020B0604020202020204" pitchFamily="34" charset="0"/>
                <a:cs typeface="Arial" panose="020B0604020202020204" pitchFamily="34" charset="0"/>
              </a:rPr>
              <a:t>4. Design features</a:t>
            </a:r>
          </a:p>
          <a:p>
            <a:pPr algn="ctr"/>
            <a:endParaRPr lang="en-AU" sz="1100" i="1" baseline="0">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Assess the extent to which the sanitation technology incorporates resilient design features</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6" name="Down Arrow 5">
            <a:extLst>
              <a:ext uri="{FF2B5EF4-FFF2-40B4-BE49-F238E27FC236}">
                <a16:creationId xmlns:a16="http://schemas.microsoft.com/office/drawing/2014/main" id="{50722D30-F2C8-E3E2-29EE-A8091B996825}"/>
              </a:ext>
            </a:extLst>
          </xdr:cNvPr>
          <xdr:cNvSpPr/>
        </xdr:nvSpPr>
        <xdr:spPr>
          <a:xfrm>
            <a:off x="6723481" y="4368046"/>
            <a:ext cx="778387" cy="829034"/>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ysClr val="windowText" lastClr="000000"/>
              </a:solidFill>
            </a:endParaRPr>
          </a:p>
        </xdr:txBody>
      </xdr:sp>
    </xdr:grpSp>
    <xdr:clientData/>
  </xdr:twoCellAnchor>
  <xdr:twoCellAnchor>
    <xdr:from>
      <xdr:col>1</xdr:col>
      <xdr:colOff>163871</xdr:colOff>
      <xdr:row>32</xdr:row>
      <xdr:rowOff>74758</xdr:rowOff>
    </xdr:from>
    <xdr:to>
      <xdr:col>8</xdr:col>
      <xdr:colOff>624758</xdr:colOff>
      <xdr:row>40</xdr:row>
      <xdr:rowOff>44824</xdr:rowOff>
    </xdr:to>
    <xdr:sp macro="" textlink="">
      <xdr:nvSpPr>
        <xdr:cNvPr id="34" name="TextBox 33">
          <a:extLst>
            <a:ext uri="{FF2B5EF4-FFF2-40B4-BE49-F238E27FC236}">
              <a16:creationId xmlns:a16="http://schemas.microsoft.com/office/drawing/2014/main" id="{3A024722-5122-7472-2AD7-CC5005E76AFF}"/>
            </a:ext>
          </a:extLst>
        </xdr:cNvPr>
        <xdr:cNvSpPr txBox="1"/>
      </xdr:nvSpPr>
      <xdr:spPr>
        <a:xfrm>
          <a:off x="387989" y="7022405"/>
          <a:ext cx="4831181" cy="1404419"/>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1" fontAlgn="auto" latinLnBrk="0" hangingPunct="1"/>
          <a:endParaRPr lang="en-AU" sz="1200" b="1" i="0">
            <a:solidFill>
              <a:schemeClr val="tx1"/>
            </a:solidFill>
            <a:effectLst/>
            <a:latin typeface="Arial" panose="020B0604020202020204" pitchFamily="34" charset="0"/>
            <a:ea typeface="+mn-ea"/>
            <a:cs typeface="Arial" panose="020B0604020202020204" pitchFamily="34" charset="0"/>
          </a:endParaRPr>
        </a:p>
        <a:p>
          <a:pPr algn="l" eaLnBrk="1" fontAlgn="auto" latinLnBrk="0" hangingPunct="1"/>
          <a:r>
            <a:rPr lang="en-AU" sz="1200" b="1" i="0">
              <a:solidFill>
                <a:schemeClr val="tx1"/>
              </a:solidFill>
              <a:effectLst/>
              <a:latin typeface="Arial" panose="020B0604020202020204" pitchFamily="34" charset="0"/>
              <a:ea typeface="+mn-ea"/>
              <a:cs typeface="Arial" panose="020B0604020202020204" pitchFamily="34" charset="0"/>
            </a:rPr>
            <a:t>What is this assessment</a:t>
          </a:r>
          <a:r>
            <a:rPr lang="en-AU" sz="1200" b="1" i="0" baseline="0">
              <a:solidFill>
                <a:schemeClr val="tx1"/>
              </a:solidFill>
              <a:effectLst/>
              <a:latin typeface="Arial" panose="020B0604020202020204" pitchFamily="34" charset="0"/>
              <a:ea typeface="+mn-ea"/>
              <a:cs typeface="Arial" panose="020B0604020202020204" pitchFamily="34" charset="0"/>
            </a:rPr>
            <a:t>? </a:t>
          </a:r>
          <a:r>
            <a:rPr lang="en-AU" sz="1200" b="0" i="0" baseline="0">
              <a:solidFill>
                <a:schemeClr val="tx1"/>
              </a:solidFill>
              <a:effectLst/>
              <a:latin typeface="Arial" panose="020B0604020202020204" pitchFamily="34" charset="0"/>
              <a:ea typeface="+mn-ea"/>
              <a:cs typeface="Arial" panose="020B0604020202020204" pitchFamily="34" charset="0"/>
            </a:rPr>
            <a:t>ClimateFIRST</a:t>
          </a:r>
          <a:r>
            <a:rPr lang="en-AU" sz="1200" b="0" i="0">
              <a:solidFill>
                <a:schemeClr val="tx1"/>
              </a:solidFill>
              <a:effectLst/>
              <a:latin typeface="Arial" panose="020B0604020202020204" pitchFamily="34" charset="0"/>
              <a:ea typeface="+mn-ea"/>
              <a:cs typeface="Arial" panose="020B0604020202020204" pitchFamily="34" charset="0"/>
            </a:rPr>
            <a:t> is a process to consider how climate-related hazards can affect a sanitation technology</a:t>
          </a:r>
          <a:r>
            <a:rPr lang="en-AU" sz="1200" b="0" i="0" baseline="0">
              <a:solidFill>
                <a:schemeClr val="tx1"/>
              </a:solidFill>
              <a:effectLst/>
              <a:latin typeface="Arial" panose="020B0604020202020204" pitchFamily="34" charset="0"/>
              <a:ea typeface="+mn-ea"/>
              <a:cs typeface="Arial" panose="020B0604020202020204" pitchFamily="34" charset="0"/>
            </a:rPr>
            <a:t> and how the risks of these hazards can be reduced through technology design. It is intended for onsite and decentralised containment and treatment sanitation technologies.</a:t>
          </a:r>
          <a:endParaRPr lang="en-AU" sz="1200" b="0" i="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9</xdr:col>
      <xdr:colOff>87056</xdr:colOff>
      <xdr:row>32</xdr:row>
      <xdr:rowOff>74758</xdr:rowOff>
    </xdr:from>
    <xdr:to>
      <xdr:col>17</xdr:col>
      <xdr:colOff>46089</xdr:colOff>
      <xdr:row>40</xdr:row>
      <xdr:rowOff>33618</xdr:rowOff>
    </xdr:to>
    <xdr:sp macro="" textlink="">
      <xdr:nvSpPr>
        <xdr:cNvPr id="9" name="TextBox 8">
          <a:extLst>
            <a:ext uri="{FF2B5EF4-FFF2-40B4-BE49-F238E27FC236}">
              <a16:creationId xmlns:a16="http://schemas.microsoft.com/office/drawing/2014/main" id="{3A1F60D6-9BE1-124D-91FD-96CA004973DA}"/>
            </a:ext>
          </a:extLst>
        </xdr:cNvPr>
        <xdr:cNvSpPr txBox="1"/>
      </xdr:nvSpPr>
      <xdr:spPr>
        <a:xfrm>
          <a:off x="5353821" y="7022405"/>
          <a:ext cx="5337856"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AU" sz="1200" b="1" i="0">
            <a:solidFill>
              <a:schemeClr val="tx1"/>
            </a:solidFill>
            <a:effectLst/>
            <a:latin typeface="Arial" panose="020B0604020202020204" pitchFamily="34" charset="0"/>
            <a:ea typeface="+mn-ea"/>
            <a:cs typeface="Arial" panose="020B0604020202020204" pitchFamily="34" charset="0"/>
          </a:endParaRPr>
        </a:p>
        <a:p>
          <a:pPr algn="l"/>
          <a:r>
            <a:rPr lang="en-AU" sz="1200" b="1" i="0">
              <a:solidFill>
                <a:schemeClr val="tx1"/>
              </a:solidFill>
              <a:effectLst/>
              <a:latin typeface="Arial" panose="020B0604020202020204" pitchFamily="34" charset="0"/>
              <a:ea typeface="+mn-ea"/>
              <a:cs typeface="Arial" panose="020B0604020202020204" pitchFamily="34" charset="0"/>
            </a:rPr>
            <a:t>Why do</a:t>
          </a:r>
          <a:r>
            <a:rPr lang="en-AU" sz="1200" b="1" i="0" baseline="0">
              <a:solidFill>
                <a:schemeClr val="tx1"/>
              </a:solidFill>
              <a:effectLst/>
              <a:latin typeface="Arial" panose="020B0604020202020204" pitchFamily="34" charset="0"/>
              <a:ea typeface="+mn-ea"/>
              <a:cs typeface="Arial" panose="020B0604020202020204" pitchFamily="34" charset="0"/>
            </a:rPr>
            <a:t> this assessment? </a:t>
          </a:r>
          <a:r>
            <a:rPr lang="en-AU" sz="1200" b="0" i="0" baseline="0">
              <a:solidFill>
                <a:schemeClr val="tx1"/>
              </a:solidFill>
              <a:effectLst/>
              <a:latin typeface="Arial" panose="020B0604020202020204" pitchFamily="34" charset="0"/>
              <a:ea typeface="+mn-ea"/>
              <a:cs typeface="Arial" panose="020B0604020202020204" pitchFamily="34" charset="0"/>
            </a:rPr>
            <a:t>This assessment aids in identifying climate-related hazards that should be accounted for in sanitation technology design, highlighting strengths in the current sanitation technology design, inspiring ideas for design improvements, and facilitating group discussion on the overall climate resilience of a sanitation technology.</a:t>
          </a:r>
          <a:endParaRPr lang="en-AU" sz="1200" b="1" i="0" baseline="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17</xdr:col>
      <xdr:colOff>184355</xdr:colOff>
      <xdr:row>32</xdr:row>
      <xdr:rowOff>74758</xdr:rowOff>
    </xdr:from>
    <xdr:to>
      <xdr:col>22</xdr:col>
      <xdr:colOff>0</xdr:colOff>
      <xdr:row>40</xdr:row>
      <xdr:rowOff>33618</xdr:rowOff>
    </xdr:to>
    <xdr:sp macro="" textlink="">
      <xdr:nvSpPr>
        <xdr:cNvPr id="10" name="TextBox 9">
          <a:extLst>
            <a:ext uri="{FF2B5EF4-FFF2-40B4-BE49-F238E27FC236}">
              <a16:creationId xmlns:a16="http://schemas.microsoft.com/office/drawing/2014/main" id="{A16179CE-397B-1D48-9F03-AB558E7DA2FC}"/>
            </a:ext>
          </a:extLst>
        </xdr:cNvPr>
        <xdr:cNvSpPr txBox="1"/>
      </xdr:nvSpPr>
      <xdr:spPr>
        <a:xfrm>
          <a:off x="10829943" y="7022405"/>
          <a:ext cx="3177410"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eaLnBrk="1" fontAlgn="auto" latinLnBrk="0" hangingPunct="1"/>
          <a:r>
            <a:rPr lang="en-AU" sz="1200" b="1" i="0" u="none">
              <a:solidFill>
                <a:schemeClr val="tx1"/>
              </a:solidFill>
              <a:effectLst/>
              <a:latin typeface="Arial" panose="020B0604020202020204" pitchFamily="34" charset="0"/>
              <a:ea typeface="+mn-ea"/>
              <a:cs typeface="Arial" panose="020B0604020202020204" pitchFamily="34" charset="0"/>
            </a:rPr>
            <a:t>Who is this</a:t>
          </a:r>
          <a:r>
            <a:rPr lang="en-AU" sz="1200" b="1" i="0" u="none" baseline="0">
              <a:solidFill>
                <a:schemeClr val="tx1"/>
              </a:solidFill>
              <a:effectLst/>
              <a:latin typeface="Arial" panose="020B0604020202020204" pitchFamily="34" charset="0"/>
              <a:ea typeface="+mn-ea"/>
              <a:cs typeface="Arial" panose="020B0604020202020204" pitchFamily="34" charset="0"/>
            </a:rPr>
            <a:t> framework for? </a:t>
          </a:r>
          <a:r>
            <a:rPr lang="en-AU" sz="1200" b="0" i="0">
              <a:solidFill>
                <a:schemeClr val="tx1"/>
              </a:solidFill>
              <a:effectLst/>
              <a:latin typeface="Arial" panose="020B0604020202020204" pitchFamily="34" charset="0"/>
              <a:ea typeface="+mn-ea"/>
              <a:cs typeface="Arial" panose="020B0604020202020204" pitchFamily="34" charset="0"/>
            </a:rPr>
            <a:t>The framework is relevant for sanitation</a:t>
          </a:r>
          <a:r>
            <a:rPr lang="en-AU" sz="1200" b="0" i="0" baseline="0">
              <a:solidFill>
                <a:schemeClr val="tx1"/>
              </a:solidFill>
              <a:effectLst/>
              <a:latin typeface="Arial" panose="020B0604020202020204" pitchFamily="34" charset="0"/>
              <a:ea typeface="+mn-ea"/>
              <a:cs typeface="Arial" panose="020B0604020202020204" pitchFamily="34" charset="0"/>
            </a:rPr>
            <a:t> technology</a:t>
          </a:r>
          <a:r>
            <a:rPr lang="en-AU" sz="1200" b="0" i="0">
              <a:solidFill>
                <a:schemeClr val="tx1"/>
              </a:solidFill>
              <a:effectLst/>
              <a:latin typeface="Arial" panose="020B0604020202020204" pitchFamily="34" charset="0"/>
              <a:ea typeface="+mn-ea"/>
              <a:cs typeface="Arial" panose="020B0604020202020204" pitchFamily="34" charset="0"/>
            </a:rPr>
            <a:t> designers, research and development personnel, commercial partners and implementation teams in low- and middle-income countries.</a:t>
          </a:r>
        </a:p>
        <a:p>
          <a:pPr algn="l"/>
          <a:endParaRPr lang="en-AU" sz="1050">
            <a:solidFill>
              <a:schemeClr val="tx1"/>
            </a:solidFill>
          </a:endParaRPr>
        </a:p>
      </xdr:txBody>
    </xdr:sp>
    <xdr:clientData/>
  </xdr:twoCellAnchor>
  <xdr:twoCellAnchor>
    <xdr:from>
      <xdr:col>11</xdr:col>
      <xdr:colOff>581850</xdr:colOff>
      <xdr:row>11</xdr:row>
      <xdr:rowOff>166457</xdr:rowOff>
    </xdr:from>
    <xdr:to>
      <xdr:col>16</xdr:col>
      <xdr:colOff>428624</xdr:colOff>
      <xdr:row>16</xdr:row>
      <xdr:rowOff>112675</xdr:rowOff>
    </xdr:to>
    <xdr:sp macro="" textlink="">
      <xdr:nvSpPr>
        <xdr:cNvPr id="20" name="Rectangle: Diagonal Corners Rounded 15">
          <a:extLst>
            <a:ext uri="{FF2B5EF4-FFF2-40B4-BE49-F238E27FC236}">
              <a16:creationId xmlns:a16="http://schemas.microsoft.com/office/drawing/2014/main" id="{28E65C89-F2C8-4029-829E-4323475E9A02}"/>
            </a:ext>
          </a:extLst>
        </xdr:cNvPr>
        <xdr:cNvSpPr/>
      </xdr:nvSpPr>
      <xdr:spPr>
        <a:xfrm>
          <a:off x="7237444" y="3083488"/>
          <a:ext cx="3240055" cy="1113031"/>
        </a:xfrm>
        <a:prstGeom prst="roundRect">
          <a:avLst/>
        </a:prstGeom>
        <a:solidFill>
          <a:schemeClr val="accent3">
            <a:lumMod val="20000"/>
            <a:lumOff val="80000"/>
          </a:schemeClr>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accent3"/>
              </a:solidFill>
              <a:latin typeface="Arial" panose="020B0604020202020204" pitchFamily="34" charset="0"/>
              <a:cs typeface="Arial" panose="020B0604020202020204" pitchFamily="34" charset="0"/>
            </a:rPr>
            <a:t>3. Hazards</a:t>
          </a:r>
        </a:p>
        <a:p>
          <a:pPr algn="ctr"/>
          <a:endParaRPr lang="en-AU" sz="1100" b="1">
            <a:solidFill>
              <a:srgbClr val="3F50B5"/>
            </a:solidFill>
            <a:latin typeface="Arial" panose="020B0604020202020204" pitchFamily="34" charset="0"/>
            <a:cs typeface="Arial" panose="020B0604020202020204" pitchFamily="34" charset="0"/>
          </a:endParaRPr>
        </a:p>
        <a:p>
          <a:pPr algn="ctr"/>
          <a:r>
            <a:rPr lang="en-AU" sz="1100" i="1" baseline="0">
              <a:solidFill>
                <a:schemeClr val="tx1"/>
              </a:solidFill>
              <a:latin typeface="Arial" panose="020B0604020202020204" pitchFamily="34" charset="0"/>
              <a:ea typeface="+mn-ea"/>
              <a:cs typeface="Arial" panose="020B0604020202020204" pitchFamily="34" charset="0"/>
            </a:rPr>
            <a:t>Assess the level of impact that specific hazards are likely to have on the sanitation technology</a:t>
          </a:r>
        </a:p>
      </xdr:txBody>
    </xdr:sp>
    <xdr:clientData/>
  </xdr:twoCellAnchor>
</xdr:wsDr>
</file>

<file path=xl/persons/person.xml><?xml version="1.0" encoding="utf-8"?>
<personList xmlns="http://schemas.microsoft.com/office/spreadsheetml/2018/threadedcomments" xmlns:x="http://schemas.openxmlformats.org/spreadsheetml/2006/main">
  <person displayName="Jess MacArthur" id="{938CA3B6-886D-2247-9FF4-898623D801A3}" userId="64841b6bd82addab" providerId="Windows Live"/>
</personList>
</file>

<file path=xl/theme/theme1.xml><?xml version="1.0" encoding="utf-8"?>
<a:theme xmlns:a="http://schemas.openxmlformats.org/drawingml/2006/main" name="Office Theme">
  <a:themeElements>
    <a:clrScheme name="UTS-GATES">
      <a:dk1>
        <a:srgbClr val="000000"/>
      </a:dk1>
      <a:lt1>
        <a:srgbClr val="FFFFFF"/>
      </a:lt1>
      <a:dk2>
        <a:srgbClr val="323232"/>
      </a:dk2>
      <a:lt2>
        <a:srgbClr val="3F50B4"/>
      </a:lt2>
      <a:accent1>
        <a:srgbClr val="009787"/>
      </a:accent1>
      <a:accent2>
        <a:srgbClr val="31869B"/>
      </a:accent2>
      <a:accent3>
        <a:srgbClr val="2295F2"/>
      </a:accent3>
      <a:accent4>
        <a:srgbClr val="9C2EB1"/>
      </a:accent4>
      <a:accent5>
        <a:srgbClr val="EB2162"/>
      </a:accent5>
      <a:accent6>
        <a:srgbClr val="FE9700"/>
      </a:accent6>
      <a:hlink>
        <a:srgbClr val="00B7E0"/>
      </a:hlink>
      <a:folHlink>
        <a:srgbClr val="00B7E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8" dT="2023-01-31T08:41:55.61" personId="{938CA3B6-886D-2247-9FF4-898623D801A3}" id="{913E4BF8-8871-464B-A587-473A20B5B1BF}">
    <text>Hide column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tabColor theme="3"/>
  </sheetPr>
  <dimension ref="A1:W47"/>
  <sheetViews>
    <sheetView showGridLines="0" showRowColHeaders="0" tabSelected="1" zoomScale="70" zoomScaleNormal="70" workbookViewId="0"/>
  </sheetViews>
  <sheetFormatPr baseColWidth="10" defaultColWidth="0" defaultRowHeight="14" zeroHeight="1"/>
  <cols>
    <col min="1" max="1" width="2.6640625" customWidth="1"/>
    <col min="2" max="2" width="3.5" customWidth="1"/>
    <col min="3" max="22" width="8.83203125" customWidth="1"/>
    <col min="23" max="23" width="4.6640625" customWidth="1"/>
    <col min="24" max="16384" width="10.83203125" hidden="1"/>
  </cols>
  <sheetData>
    <row r="1" spans="3:9">
      <c r="C1" t="s">
        <v>335</v>
      </c>
    </row>
    <row r="2" spans="3:9"/>
    <row r="3" spans="3:9"/>
    <row r="4" spans="3:9"/>
    <row r="5" spans="3:9" ht="23">
      <c r="I5" s="7"/>
    </row>
    <row r="6" spans="3:9"/>
    <row r="7" spans="3:9"/>
    <row r="8" spans="3:9"/>
    <row r="9" spans="3:9"/>
    <row r="10" spans="3:9"/>
    <row r="11" spans="3:9"/>
    <row r="12" spans="3:9"/>
    <row r="13" spans="3:9">
      <c r="F13" s="22"/>
    </row>
    <row r="14" spans="3:9">
      <c r="F14" s="23"/>
    </row>
    <row r="15" spans="3:9">
      <c r="F15" s="24"/>
    </row>
    <row r="16" spans="3:9" ht="35">
      <c r="C16" s="30"/>
    </row>
    <row r="17"/>
    <row r="18"/>
    <row r="19"/>
    <row r="20"/>
    <row r="21"/>
    <row r="22"/>
    <row r="23"/>
    <row r="24"/>
    <row r="25"/>
    <row r="26"/>
    <row r="27"/>
    <row r="28"/>
    <row r="29"/>
    <row r="30"/>
    <row r="31"/>
    <row r="32"/>
    <row r="33" spans="3:3"/>
    <row r="34" spans="3:3"/>
    <row r="35" spans="3:3"/>
    <row r="36" spans="3:3"/>
    <row r="37" spans="3:3"/>
    <row r="38" spans="3:3"/>
    <row r="39" spans="3:3"/>
    <row r="40" spans="3:3"/>
    <row r="41" spans="3:3"/>
    <row r="47" spans="3:3" ht="17" hidden="1">
      <c r="C47" s="199"/>
    </row>
  </sheetData>
  <customSheetViews>
    <customSheetView guid="{2AB498D9-D32A-4EB2-B4F2-37A196616A87}" topLeftCell="A10">
      <selection activeCell="H16" sqref="H16"/>
      <pageMargins left="0.7" right="0.7" top="0.75" bottom="0.75" header="0.3" footer="0.3"/>
    </customSheetView>
  </customSheetView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E1198-439E-4533-B6AF-924A57E30BFE}">
  <sheetPr codeName="Sheet7">
    <tabColor theme="8" tint="0.79998168889431442"/>
  </sheetPr>
  <dimension ref="A1:L46"/>
  <sheetViews>
    <sheetView showGridLines="0" showRowColHeaders="0" zoomScale="80" zoomScaleNormal="80" workbookViewId="0"/>
  </sheetViews>
  <sheetFormatPr baseColWidth="10" defaultColWidth="0" defaultRowHeight="14" zeroHeight="1"/>
  <cols>
    <col min="1" max="2" width="3.33203125" style="262" customWidth="1"/>
    <col min="3" max="3" width="27.1640625" customWidth="1"/>
    <col min="4" max="5" width="47.1640625" customWidth="1"/>
    <col min="6" max="6" width="90.6640625" customWidth="1"/>
    <col min="7" max="7" width="3.1640625" style="262" customWidth="1"/>
    <col min="8" max="8" width="3.33203125" style="262" customWidth="1"/>
    <col min="9" max="9" width="8.6640625" hidden="1" customWidth="1"/>
    <col min="10" max="12" width="0" hidden="1" customWidth="1"/>
    <col min="13" max="16384" width="8.6640625" hidden="1"/>
  </cols>
  <sheetData>
    <row r="1" spans="2:7" s="262" customFormat="1" ht="15" thickBot="1"/>
    <row r="2" spans="2:7" s="262" customFormat="1">
      <c r="B2" s="277"/>
      <c r="C2" s="278"/>
      <c r="D2" s="279"/>
      <c r="E2" s="279"/>
      <c r="F2" s="278"/>
      <c r="G2" s="272"/>
    </row>
    <row r="3" spans="2:7">
      <c r="B3" s="280"/>
      <c r="C3" s="209"/>
      <c r="D3" s="210"/>
      <c r="E3" s="210"/>
      <c r="F3" s="209"/>
      <c r="G3" s="273"/>
    </row>
    <row r="4" spans="2:7" ht="14" customHeight="1">
      <c r="B4" s="280"/>
      <c r="C4" s="396" t="s">
        <v>284</v>
      </c>
      <c r="D4" s="396"/>
      <c r="E4" s="396"/>
      <c r="F4" s="396"/>
      <c r="G4" s="273"/>
    </row>
    <row r="5" spans="2:7" ht="14" customHeight="1">
      <c r="B5" s="280"/>
      <c r="C5" s="396"/>
      <c r="D5" s="396"/>
      <c r="E5" s="396"/>
      <c r="F5" s="396"/>
      <c r="G5" s="273"/>
    </row>
    <row r="6" spans="2:7" ht="14" customHeight="1">
      <c r="B6" s="280"/>
      <c r="C6" s="396"/>
      <c r="D6" s="396"/>
      <c r="E6" s="396"/>
      <c r="F6" s="396"/>
      <c r="G6" s="273"/>
    </row>
    <row r="7" spans="2:7" ht="14" customHeight="1">
      <c r="B7" s="280"/>
      <c r="C7" s="396"/>
      <c r="D7" s="396"/>
      <c r="E7" s="396"/>
      <c r="F7" s="396"/>
      <c r="G7" s="273"/>
    </row>
    <row r="8" spans="2:7" ht="14" customHeight="1">
      <c r="B8" s="280"/>
      <c r="C8" s="396"/>
      <c r="D8" s="396"/>
      <c r="E8" s="396"/>
      <c r="F8" s="396"/>
      <c r="G8" s="273"/>
    </row>
    <row r="9" spans="2:7" ht="14" customHeight="1">
      <c r="B9" s="280"/>
      <c r="C9" s="396"/>
      <c r="D9" s="396"/>
      <c r="E9" s="396"/>
      <c r="F9" s="396"/>
      <c r="G9" s="273"/>
    </row>
    <row r="10" spans="2:7" ht="14" customHeight="1">
      <c r="B10" s="280"/>
      <c r="C10" s="396"/>
      <c r="D10" s="396"/>
      <c r="E10" s="396"/>
      <c r="F10" s="396"/>
      <c r="G10" s="273"/>
    </row>
    <row r="11" spans="2:7" ht="14" customHeight="1">
      <c r="B11" s="280"/>
      <c r="C11" s="396"/>
      <c r="D11" s="396"/>
      <c r="E11" s="396"/>
      <c r="F11" s="396"/>
      <c r="G11" s="273"/>
    </row>
    <row r="12" spans="2:7" ht="14" customHeight="1">
      <c r="B12" s="280"/>
      <c r="C12" s="396"/>
      <c r="D12" s="396"/>
      <c r="E12" s="396"/>
      <c r="F12" s="396"/>
      <c r="G12" s="273"/>
    </row>
    <row r="13" spans="2:7" ht="14" customHeight="1">
      <c r="B13" s="280"/>
      <c r="C13" s="396"/>
      <c r="D13" s="396"/>
      <c r="E13" s="396"/>
      <c r="F13" s="396"/>
      <c r="G13" s="273"/>
    </row>
    <row r="14" spans="2:7" ht="14" customHeight="1">
      <c r="B14" s="280"/>
      <c r="C14" s="396"/>
      <c r="D14" s="396"/>
      <c r="E14" s="396"/>
      <c r="F14" s="396"/>
      <c r="G14" s="273"/>
    </row>
    <row r="15" spans="2:7">
      <c r="B15" s="280"/>
      <c r="C15" s="393"/>
      <c r="D15" s="393"/>
      <c r="E15" s="393"/>
      <c r="F15" s="393"/>
      <c r="G15" s="273"/>
    </row>
    <row r="16" spans="2:7">
      <c r="B16" s="280"/>
      <c r="C16" s="211"/>
      <c r="D16" s="211"/>
      <c r="E16" s="211"/>
      <c r="F16" s="212"/>
      <c r="G16" s="273"/>
    </row>
    <row r="17" spans="2:7">
      <c r="B17" s="280"/>
      <c r="C17" s="213"/>
      <c r="D17" s="214"/>
      <c r="E17" s="214"/>
      <c r="F17" s="215"/>
      <c r="G17" s="273"/>
    </row>
    <row r="18" spans="2:7" ht="17">
      <c r="B18" s="280"/>
      <c r="C18" s="397" t="s">
        <v>317</v>
      </c>
      <c r="D18" s="397"/>
      <c r="E18" s="311" t="s">
        <v>285</v>
      </c>
      <c r="F18" s="311" t="s">
        <v>282</v>
      </c>
      <c r="G18" s="273"/>
    </row>
    <row r="19" spans="2:7">
      <c r="B19" s="280"/>
      <c r="C19" s="9"/>
      <c r="D19" s="11"/>
      <c r="E19" s="11"/>
      <c r="F19" s="9"/>
      <c r="G19" s="273"/>
    </row>
    <row r="20" spans="2:7" ht="55.25" customHeight="1">
      <c r="B20" s="280"/>
      <c r="C20" s="218" t="str" cm="1">
        <f t="array" ref="C20">IF(ROWS($A$2:A2)&lt;=(COUNTIF(_4DesignShowImprovement,TRUE)), INDEX(_4DesignFeatures,_xlfn.AGGREGATE(15,3,(_4DesignShowImprovement=TRUE)/(_4DesignShowImprovement=TRUE)*ROW(_4DesignFeatures)-ROW(DF_Calc!$B$5),ROWS($A$2:A2))),"")</f>
        <v>Armouring and Strengthening</v>
      </c>
      <c r="D20" s="254" t="str" cm="1">
        <f t="array" ref="D20">IF(ROWS($A$2:A2)&lt;=(COUNTIF(_4DesignShowImprovement,TRUE)), INDEX(_4DesignBlurb,_xlfn.AGGREGATE(15,3,(_4DesignShowImprovement=TRUE)/(_4DesignShowImprovement=TRUE)*ROW(_4DesignFeatures)-ROW(DF_Calc!$B$5),ROWS($A$2:A2))),"")</f>
        <v>Hardening or stiffening the technology or its components against an expected force.</v>
      </c>
      <c r="E20" s="204" t="str" cm="1">
        <f t="array" ref="E20">IF(ROWS($A$2:A2)&lt;=(COUNTIF(_4DesignShowImprovement,TRUE)), INDEX(_4DesignClimate,_xlfn.AGGREGATE(15,3,(_4DesignShowImprovement=TRUE)/(_4DesignShowImprovement=TRUE)*ROW(_4DesignFeatures)-ROW(DF_Calc!$B$5),ROWS($A$2:A2))),"")</f>
        <v>It's possible it could crack under soil expanision and contraction, or through heavy traffic on the surface of the ABR. It's unknown what level of soil expanision/contraction would do this, however, ensuring it's installed in unreactive soils would help.
These systems are may be located at the edge of a waterway (i.e. river bank) or natural low point in an area (i.e. on coast). It is therefore prone to impact of floodwaters (possibly storm surge in other locations if located at the beach) and may require extra armoring in these contexts.</v>
      </c>
      <c r="F20" s="282" t="str" cm="1">
        <f t="array" ref="F20">IF(ROWS($A$2:A2)&lt;=(COUNTIF(_4DesignShowImprovement,TRUE)), INDEX(_4DesignImprovement,_xlfn.AGGREGATE(15,3,(_4DesignShowImprovement=TRUE)/(_4DesignShowImprovement=TRUE)*ROW(_4DesignFeatures)-ROW(DF_Calc!$B$5),ROWS($A$2:A2))),"")</f>
        <v>The strength of the armouring and strengthening is also dependent on the quality of the concrete (e.g. rebar, water quality, concrete mix) and installation. As it's not pre-fabricated it's dependent on the skills/diligence of the installer. Pre-fabricated concrete modules could achieve armouring and reduce this risk, however, it comes with transport challenges (and also means local masons are not involved in construction).
As per 'weak point' comment, extra armoring may be relevant if located adjacent to a waterway or coastal area.</v>
      </c>
      <c r="G20" s="274"/>
    </row>
    <row r="21" spans="2:7" ht="55.25" customHeight="1">
      <c r="B21" s="280"/>
      <c r="C21" s="218" t="str" cm="1">
        <f t="array" ref="C21">IF(ROWS($A$2:A3)&lt;=(COUNTIF(_4DesignShowImprovement,TRUE)), INDEX(_4DesignFeatures,_xlfn.AGGREGATE(15,3,(_4DesignShowImprovement=TRUE)/(_4DesignShowImprovement=TRUE)*ROW(_4DesignFeatures)-ROW(DF_Calc!$B$5),ROWS($A$2:A3))),"")</f>
        <v>Oversizing</v>
      </c>
      <c r="D21" s="254" t="str" cm="1">
        <f t="array" ref="D21">IF(ROWS($A$2:A3)&lt;=(COUNTIF(_4DesignShowImprovement,TRUE)), INDEX(_4DesignBlurb,_xlfn.AGGREGATE(15,3,(_4DesignShowImprovement=TRUE)/(_4DesignShowImprovement=TRUE)*ROW(_4DesignFeatures)-ROW(DF_Calc!$B$5),ROWS($A$2:A3))),"")</f>
        <v>Increasing the tolerance or capacity of the technology or its component so that it can accommodate extreme conditions,  projected changes in conditions, or changes in number of users.</v>
      </c>
      <c r="E21" s="204" t="str" cm="1">
        <f t="array" ref="E21">IF(ROWS($A$2:A3)&lt;=(COUNTIF(_4DesignShowImprovement,TRUE)), INDEX(_4DesignClimate,_xlfn.AGGREGATE(15,3,(_4DesignShowImprovement=TRUE)/(_4DesignShowImprovement=TRUE)*ROW(_4DesignFeatures)-ROW(DF_Calc!$B$5),ROWS($A$2:A3))),"")</f>
        <v>The ABR is designed for 20L/capita/day and has a peak design factor of 4. Once installed in a place it is difficult to expand. It has some capacity to cope with 'spikes' in usage. However, prolonged usage or a permanent increase in the number of users will mean it reaches it's capacity.</v>
      </c>
      <c r="F21" s="282" t="str" cm="1">
        <f t="array" ref="F21">IF(ROWS($A$2:A3)&lt;=(COUNTIF(_4DesignShowImprovement,TRUE)), INDEX(_4DesignImprovement,_xlfn.AGGREGATE(15,3,(_4DesignShowImprovement=TRUE)/(_4DesignShowImprovement=TRUE)*ROW(_4DesignFeatures)-ROW(DF_Calc!$B$5),ROWS($A$2:A3))),"")</f>
        <v>Increasing the buffer capacity of the first chamber may be an option if there is adequate space. Allowing space for additional buffer chambers to be added to the end may be a consideration in the siting of the ABR</v>
      </c>
      <c r="G21" s="274"/>
    </row>
    <row r="22" spans="2:7" ht="55.25" customHeight="1">
      <c r="B22" s="280"/>
      <c r="C22" s="218" t="str" cm="1">
        <f t="array" ref="C22">IF(ROWS($A$2:A4)&lt;=(COUNTIF(_4DesignShowImprovement,TRUE)), INDEX(_4DesignFeatures,_xlfn.AGGREGATE(15,3,(_4DesignShowImprovement=TRUE)/(_4DesignShowImprovement=TRUE)*ROW(_4DesignFeatures)-ROW(DF_Calc!$B$5),ROWS($A$2:A4))),"")</f>
        <v>Shapes that distribute</v>
      </c>
      <c r="D22" s="254" t="str" cm="1">
        <f t="array" ref="D22">IF(ROWS($A$2:A4)&lt;=(COUNTIF(_4DesignShowImprovement,TRUE)), INDEX(_4DesignBlurb,_xlfn.AGGREGATE(15,3,(_4DesignShowImprovement=TRUE)/(_4DesignShowImprovement=TRUE)*ROW(_4DesignFeatures)-ROW(DF_Calc!$B$5),ROWS($A$2:A4))),"")</f>
        <v>The shape of the technology creates more uniform distribution of stress over its cross-section, thus reducing the risk of failure at weaker points.</v>
      </c>
      <c r="E22" s="204" t="str" cm="1">
        <f t="array" ref="E22">IF(ROWS($A$2:A4)&lt;=(COUNTIF(_4DesignShowImprovement,TRUE)), INDEX(_4DesignClimate,_xlfn.AGGREGATE(15,3,(_4DesignShowImprovement=TRUE)/(_4DesignShowImprovement=TRUE)*ROW(_4DesignFeatures)-ROW(DF_Calc!$B$5),ROWS($A$2:A4))),"")</f>
        <v>The square shape could be problematic with tidal/wave/flood forces on edges.</v>
      </c>
      <c r="F22" s="282" t="str" cm="1">
        <f t="array" ref="F22">IF(ROWS($A$2:A4)&lt;=(COUNTIF(_4DesignShowImprovement,TRUE)), INDEX(_4DesignImprovement,_xlfn.AGGREGATE(15,3,(_4DesignShowImprovement=TRUE)/(_4DesignShowImprovement=TRUE)*ROW(_4DesignFeatures)-ROW(DF_Calc!$B$5),ROWS($A$2:A4))),"")</f>
        <v>For ABRs that are located on the edge of a waterway the shape could ensure there are no edges/protrusions in the waterway that could create increased pressuring during high river flows.</v>
      </c>
      <c r="G22" s="274"/>
    </row>
    <row r="23" spans="2:7" ht="55.25" customHeight="1">
      <c r="B23" s="280"/>
      <c r="C23" s="218" t="str" cm="1">
        <f t="array" ref="C23">IF(ROWS($A$2:A5)&lt;=(COUNTIF(_4DesignShowImprovement,TRUE)), INDEX(_4DesignFeatures,_xlfn.AGGREGATE(15,3,(_4DesignShowImprovement=TRUE)/(_4DesignShowImprovement=TRUE)*ROW(_4DesignFeatures)-ROW(DF_Calc!$B$5),ROWS($A$2:A5))),"")</f>
        <v>Sealing and barriers</v>
      </c>
      <c r="D23" s="254" t="str" cm="1">
        <f t="array" ref="D23">IF(ROWS($A$2:A5)&lt;=(COUNTIF(_4DesignShowImprovement,TRUE)), INDEX(_4DesignBlurb,_xlfn.AGGREGATE(15,3,(_4DesignShowImprovement=TRUE)/(_4DesignShowImprovement=TRUE)*ROW(_4DesignFeatures)-ROW(DF_Calc!$B$5),ROWS($A$2:A5))),"")</f>
        <v>Integrating seals, barriers or other forms of protection into the technology to protect critical components or processes from being disrupted by a hazard.</v>
      </c>
      <c r="E23" s="204" t="str" cm="1">
        <f t="array" ref="E23">IF(ROWS($A$2:A5)&lt;=(COUNTIF(_4DesignShowImprovement,TRUE)), INDEX(_4DesignClimate,_xlfn.AGGREGATE(15,3,(_4DesignShowImprovement=TRUE)/(_4DesignShowImprovement=TRUE)*ROW(_4DesignFeatures)-ROW(DF_Calc!$B$5),ROWS($A$2:A5))),"")</f>
        <v>The outlet is not sealed, so backflow is possible when water levels are high</v>
      </c>
      <c r="F23" s="282" t="str" cm="1">
        <f t="array" ref="F23">IF(ROWS($A$2:A5)&lt;=(COUNTIF(_4DesignShowImprovement,TRUE)), INDEX(_4DesignImprovement,_xlfn.AGGREGATE(15,3,(_4DesignShowImprovement=TRUE)/(_4DesignShowImprovement=TRUE)*ROW(_4DesignFeatures)-ROW(DF_Calc!$B$5),ROWS($A$2:A5))),"")</f>
        <v>You could install a non-return valve on the outlet to prevent backflow from entering chambers
Screens for input could reduce clogging from solid waste or other debris. This may also introduce another failure point and also introduces another level of maintenance moving potential downstream failure (clogging over time) upstream (more shorter term challenges such as blocked screens).</v>
      </c>
      <c r="G23" s="274"/>
    </row>
    <row r="24" spans="2:7" ht="55.25" customHeight="1">
      <c r="B24" s="280"/>
      <c r="C24" s="218" t="str" cm="1">
        <f t="array" ref="C24">IF(ROWS($A$2:A6)&lt;=(COUNTIF(_4DesignShowImprovement,TRUE)), INDEX(_4DesignFeatures,_xlfn.AGGREGATE(15,3,(_4DesignShowImprovement=TRUE)/(_4DesignShowImprovement=TRUE)*ROW(_4DesignFeatures)-ROW(DF_Calc!$B$5),ROWS($A$2:A6))),"")</f>
        <v>Adaptability</v>
      </c>
      <c r="D24" s="254" t="str" cm="1">
        <f t="array" ref="D24">IF(ROWS($A$2:A6)&lt;=(COUNTIF(_4DesignShowImprovement,TRUE)), INDEX(_4DesignBlurb,_xlfn.AGGREGATE(15,3,(_4DesignShowImprovement=TRUE)/(_4DesignShowImprovement=TRUE)*ROW(_4DesignFeatures)-ROW(DF_Calc!$B$5),ROWS($A$2:A6))),"")</f>
        <v>The technology design can be adapted or upgraded easily to function better under the changing environmental conditions (e.g. increasingly wet or increasingly dry conditions).</v>
      </c>
      <c r="E24" s="204" t="str" cm="1">
        <f t="array" ref="E24">IF(ROWS($A$2:A6)&lt;=(COUNTIF(_4DesignShowImprovement,TRUE)), INDEX(_4DesignClimate,_xlfn.AGGREGATE(15,3,(_4DesignShowImprovement=TRUE)/(_4DesignShowImprovement=TRUE)*ROW(_4DesignFeatures)-ROW(DF_Calc!$B$5),ROWS($A$2:A6))),"")</f>
        <v>The technology needs a minimum amount of water to ensure it can flow between chambers. Reductions in water supply (e.g. drought) would likely reduce water flow potentially reducing it's functionality. Adaptability in this regard is not integrated into the design. It would require some user intervention.
In times of increasing flood or rainfall, there may be additional water inputs into the ABR. If retention times were too fast, this would compromise the level of treatment.
Discharge to a soak pit (not detailed in the design) could reduce the impact of backflow from raised receiving water levels and may reduce impact on waterway quality during drought periods when dilution capacity of waterways are reduced.</v>
      </c>
      <c r="F24" s="282" t="str" cm="1">
        <f t="array" ref="F24">IF(ROWS($A$2:A6)&lt;=(COUNTIF(_4DesignShowImprovement,TRUE)), INDEX(_4DesignImprovement,_xlfn.AGGREGATE(15,3,(_4DesignShowImprovement=TRUE)/(_4DesignShowImprovement=TRUE)*ROW(_4DesignFeatures)-ROW(DF_Calc!$B$5),ROWS($A$2:A6))),"")</f>
        <v>Effluent could be recirculated through the ABR in times of low water. This would require a pumping system which adds cost and complexity to the design.
A shut off valve or similar may be useful in times of flood, sea inundation or high rain if water ingreess into the ABR is an issue.</v>
      </c>
      <c r="G24" s="274"/>
    </row>
    <row r="25" spans="2:7" ht="55.25" customHeight="1">
      <c r="B25" s="280"/>
      <c r="C25" s="218" t="str" cm="1">
        <f t="array" ref="C25">IF(ROWS($A$2:A7)&lt;=(COUNTIF(_4DesignShowImprovement,TRUE)), INDEX(_4DesignFeatures,_xlfn.AGGREGATE(15,3,(_4DesignShowImprovement=TRUE)/(_4DesignShowImprovement=TRUE)*ROW(_4DesignFeatures)-ROW(DF_Calc!$B$5),ROWS($A$2:A7))),"")</f>
        <v>Modular design</v>
      </c>
      <c r="D25" s="254" t="str" cm="1">
        <f t="array" ref="D25">IF(ROWS($A$2:A7)&lt;=(COUNTIF(_4DesignShowImprovement,TRUE)), INDEX(_4DesignBlurb,_xlfn.AGGREGATE(15,3,(_4DesignShowImprovement=TRUE)/(_4DesignShowImprovement=TRUE)*ROW(_4DesignFeatures)-ROW(DF_Calc!$B$5),ROWS($A$2:A7))),"")</f>
        <v>Additional modules can be added (plug-in type model) or removed to increase or decrease capacity of the system to accommodate variability in demand and environmental conditions.</v>
      </c>
      <c r="E25" s="204" t="str" cm="1">
        <f t="array" ref="E25">IF(ROWS($A$2:A7)&lt;=(COUNTIF(_4DesignShowImprovement,TRUE)), INDEX(_4DesignClimate,_xlfn.AGGREGATE(15,3,(_4DesignShowImprovement=TRUE)/(_4DesignShowImprovement=TRUE)*ROW(_4DesignFeatures)-ROW(DF_Calc!$B$5),ROWS($A$2:A7))),"")</f>
        <v xml:space="preserve">Module elements (e.g. additional chambers) to the ABR can not be easily removed or bypassed, however could be added if there was space at either end or possibly piped to additional baffles nearby. However, adding on extra modules is not a common practice.  </v>
      </c>
      <c r="F25" s="282" t="str" cm="1">
        <f t="array" ref="F25">IF(ROWS($A$2:A7)&lt;=(COUNTIF(_4DesignShowImprovement,TRUE)), INDEX(_4DesignImprovement,_xlfn.AGGREGATE(15,3,(_4DesignShowImprovement=TRUE)/(_4DesignShowImprovement=TRUE)*ROW(_4DesignFeatures)-ROW(DF_Calc!$B$5),ROWS($A$2:A7))),"")</f>
        <v>The concrete structure makes removing modules difficult. Providing pipe fitting or junction boxes at the start or end would ease future modifications, as would allowing additional space for more buffers or a parallel systems in the site selection</v>
      </c>
      <c r="G25" s="274"/>
    </row>
    <row r="26" spans="2:7" ht="55.25" customHeight="1">
      <c r="B26" s="280"/>
      <c r="C26" s="218" t="str" cm="1">
        <f t="array" ref="C26">IF(ROWS($A$2:A8)&lt;=(COUNTIF(_4DesignShowImprovement,TRUE)), INDEX(_4DesignFeatures,_xlfn.AGGREGATE(15,3,(_4DesignShowImprovement=TRUE)/(_4DesignShowImprovement=TRUE)*ROW(_4DesignFeatures)-ROW(DF_Calc!$B$5),ROWS($A$2:A8))),"")</f>
        <v>Signalling</v>
      </c>
      <c r="D26" s="254" t="str" cm="1">
        <f t="array" ref="D26">IF(ROWS($A$2:A8)&lt;=(COUNTIF(_4DesignShowImprovement,TRUE)), INDEX(_4DesignBlurb,_xlfn.AGGREGATE(15,3,(_4DesignShowImprovement=TRUE)/(_4DesignShowImprovement=TRUE)*ROW(_4DesignFeatures)-ROW(DF_Calc!$B$5),ROWS($A$2:A8))),"")</f>
        <v>The technology, by the nature of how it functions or by intentional design, has a way of signalling to operators or users when the technology requires modification to prevent failure or to enhance its performance.</v>
      </c>
      <c r="E26" s="204" t="str" cm="1">
        <f t="array" ref="E26">IF(ROWS($A$2:A8)&lt;=(COUNTIF(_4DesignShowImprovement,TRUE)), INDEX(_4DesignClimate,_xlfn.AGGREGATE(15,3,(_4DesignShowImprovement=TRUE)/(_4DesignShowImprovement=TRUE)*ROW(_4DesignFeatures)-ROW(DF_Calc!$B$5),ROWS($A$2:A8))),"")</f>
        <v>It's difficult to know if there are issues until the technology is already having major issues (e.g. toilets can't be flushed). Difficult to know if effluent is being treated adequately.</v>
      </c>
      <c r="F26" s="282" t="str" cm="1">
        <f t="array" ref="F26">IF(ROWS($A$2:A8)&lt;=(COUNTIF(_4DesignShowImprovement,TRUE)), INDEX(_4DesignImprovement,_xlfn.AGGREGATE(15,3,(_4DesignShowImprovement=TRUE)/(_4DesignShowImprovement=TRUE)*ROW(_4DesignFeatures)-ROW(DF_Calc!$B$5),ROWS($A$2:A8))),"")</f>
        <v>Remote flow sensing, or flow analogue gauge of flow rates through inlets, chambers and outlets would indicate if the ABR was failing.</v>
      </c>
      <c r="G26" s="274"/>
    </row>
    <row r="27" spans="2:7" ht="55.25" customHeight="1">
      <c r="B27" s="280"/>
      <c r="C27" s="218" t="str" cm="1">
        <f t="array" ref="C27">IF(ROWS($A$2:A9)&lt;=(COUNTIF(_4DesignShowImprovement,TRUE)), INDEX(_4DesignFeatures,_xlfn.AGGREGATE(15,3,(_4DesignShowImprovement=TRUE)/(_4DesignShowImprovement=TRUE)*ROW(_4DesignFeatures)-ROW(DF_Calc!$B$5),ROWS($A$2:A9))),"")</f>
        <v>Fail-operational</v>
      </c>
      <c r="D27" s="254" t="str" cm="1">
        <f t="array" ref="D27">IF(ROWS($A$2:A9)&lt;=(COUNTIF(_4DesignShowImprovement,TRUE)), INDEX(_4DesignBlurb,_xlfn.AGGREGATE(15,3,(_4DesignShowImprovement=TRUE)/(_4DesignShowImprovement=TRUE)*ROW(_4DesignFeatures)-ROW(DF_Calc!$B$5),ROWS($A$2:A9))),"")</f>
        <v>The technology can still provide its overall function even when components or processes are damaged/compromised and undergoing repair.</v>
      </c>
      <c r="E27" s="204" t="str" cm="1">
        <f t="array" ref="E27">IF(ROWS($A$2:A9)&lt;=(COUNTIF(_4DesignShowImprovement,TRUE)), INDEX(_4DesignClimate,_xlfn.AGGREGATE(15,3,(_4DesignShowImprovement=TRUE)/(_4DesignShowImprovement=TRUE)*ROW(_4DesignFeatures)-ROW(DF_Calc!$B$5),ROWS($A$2:A9))),"")</f>
        <v>This depends on the degree of damage. It may provide a limited function if damaged (i.e. minor leakage of waste). However, some repairs may require inputs to be stopped or sludge to be removed to access areas for repair. It's not straightforward to isolate chambers.</v>
      </c>
      <c r="F27" s="282" t="str" cm="1">
        <f t="array" ref="F27">IF(ROWS($A$2:A9)&lt;=(COUNTIF(_4DesignShowImprovement,TRUE)), INDEX(_4DesignImprovement,_xlfn.AGGREGATE(15,3,(_4DesignShowImprovement=TRUE)/(_4DesignShowImprovement=TRUE)*ROW(_4DesignFeatures)-ROW(DF_Calc!$B$5),ROWS($A$2:A9))),"")</f>
        <v>Options to bypass chambers for repairs when needed may mean the ABR could continue to function while chambers were repaired.</v>
      </c>
      <c r="G27" s="274"/>
    </row>
    <row r="28" spans="2:7" ht="55.25" customHeight="1">
      <c r="B28" s="280"/>
      <c r="C28" s="218" t="str" cm="1">
        <f t="array" ref="C28">IF(ROWS($A$2:A10)&lt;=(COUNTIF(_4DesignShowImprovement,TRUE)), INDEX(_4DesignFeatures,_xlfn.AGGREGATE(15,3,(_4DesignShowImprovement=TRUE)/(_4DesignShowImprovement=TRUE)*ROW(_4DesignFeatures)-ROW(DF_Calc!$B$5),ROWS($A$2:A10))),"")</f>
        <v>Decentralisation</v>
      </c>
      <c r="D28" s="254" t="str" cm="1">
        <f t="array" ref="D28">IF(ROWS($A$2:A10)&lt;=(COUNTIF(_4DesignShowImprovement,TRUE)), INDEX(_4DesignBlurb,_xlfn.AGGREGATE(15,3,(_4DesignShowImprovement=TRUE)/(_4DesignShowImprovement=TRUE)*ROW(_4DesignFeatures)-ROW(DF_Calc!$B$5),ROWS($A$2:A10))),"")</f>
        <v>Failures in decentralised systems (small-scale individual or clustered systems) are isolated locally which prevents failures from cascading and causing outages to many users/households.</v>
      </c>
      <c r="E28" s="204" t="str" cm="1">
        <f t="array" ref="E28">IF(ROWS($A$2:A10)&lt;=(COUNTIF(_4DesignShowImprovement,TRUE)), INDEX(_4DesignClimate,_xlfn.AGGREGATE(15,3,(_4DesignShowImprovement=TRUE)/(_4DesignShowImprovement=TRUE)*ROW(_4DesignFeatures)-ROW(DF_Calc!$B$5),ROWS($A$2:A10))),"")</f>
        <v>Compared to a septic tank, it is still possible that several households will have disrupted sanitation in the event of a failure. The assessment team noted there may be as many as 40 households connected to some ABRs.</v>
      </c>
      <c r="F28" s="282" t="str" cm="1">
        <f t="array" ref="F28">IF(ROWS($A$2:A10)&lt;=(COUNTIF(_4DesignShowImprovement,TRUE)), INDEX(_4DesignImprovement,_xlfn.AGGREGATE(15,3,(_4DesignShowImprovement=TRUE)/(_4DesignShowImprovement=TRUE)*ROW(_4DesignFeatures)-ROW(DF_Calc!$B$5),ROWS($A$2:A10))),"")</f>
        <v>Guidelines on maximum number of households to be connected to an ABR.</v>
      </c>
      <c r="G28" s="274"/>
    </row>
    <row r="29" spans="2:7" ht="55.25" customHeight="1">
      <c r="B29" s="280"/>
      <c r="C29" s="218" t="str" cm="1">
        <f t="array" ref="C29">IF(ROWS($A$2:A11)&lt;=(COUNTIF(_4DesignShowImprovement,TRUE)), INDEX(_4DesignFeatures,_xlfn.AGGREGATE(15,3,(_4DesignShowImprovement=TRUE)/(_4DesignShowImprovement=TRUE)*ROW(_4DesignFeatures)-ROW(DF_Calc!$B$5),ROWS($A$2:A11))),"")</f>
        <v>Reusable materials</v>
      </c>
      <c r="D29" s="254" t="str" cm="1">
        <f t="array" ref="D29">IF(ROWS($A$2:A11)&lt;=(COUNTIF(_4DesignShowImprovement,TRUE)), INDEX(_4DesignBlurb,_xlfn.AGGREGATE(15,3,(_4DesignShowImprovement=TRUE)/(_4DesignShowImprovement=TRUE)*ROW(_4DesignFeatures)-ROW(DF_Calc!$B$5),ROWS($A$2:A11))),"")</f>
        <v>The materials from the destroyed technology can be reused for other purposes (including rebuilding the technology).</v>
      </c>
      <c r="E29" s="204" t="str" cm="1">
        <f t="array" ref="E29">IF(ROWS($A$2:A11)&lt;=(COUNTIF(_4DesignShowImprovement,TRUE)), INDEX(_4DesignClimate,_xlfn.AGGREGATE(15,3,(_4DesignShowImprovement=TRUE)/(_4DesignShowImprovement=TRUE)*ROW(_4DesignFeatures)-ROW(DF_Calc!$B$5),ROWS($A$2:A11))),"")</f>
        <v>The broken concrete is generally not easily used for other purposes.</v>
      </c>
      <c r="F29" s="282" t="str" cm="1">
        <f t="array" ref="F29">IF(ROWS($A$2:A11)&lt;=(COUNTIF(_4DesignShowImprovement,TRUE)), INDEX(_4DesignImprovement,_xlfn.AGGREGATE(15,3,(_4DesignShowImprovement=TRUE)/(_4DesignShowImprovement=TRUE)*ROW(_4DesignFeatures)-ROW(DF_Calc!$B$5),ROWS($A$2:A11))),"")</f>
        <v>If the chambers were built out of bricks, they could potentially be recovered and used for other purposes.</v>
      </c>
      <c r="G29" s="274"/>
    </row>
    <row r="30" spans="2:7" ht="55.25" customHeight="1">
      <c r="B30" s="280"/>
      <c r="C30" s="218" t="str" cm="1">
        <f t="array" ref="C30">IF(ROWS($A$2:A12)&lt;=(COUNTIF(_4DesignShowImprovement,TRUE)), INDEX(_4DesignFeatures,_xlfn.AGGREGATE(15,3,(_4DesignShowImprovement=TRUE)/(_4DesignShowImprovement=TRUE)*ROW(_4DesignFeatures)-ROW(DF_Calc!$B$5),ROWS($A$2:A12))),"")</f>
        <v>Fail-silence</v>
      </c>
      <c r="D30" s="254" t="str" cm="1">
        <f t="array" ref="D30">IF(ROWS($A$2:A12)&lt;=(COUNTIF(_4DesignShowImprovement,TRUE)), INDEX(_4DesignBlurb,_xlfn.AGGREGATE(15,3,(_4DesignShowImprovement=TRUE)/(_4DesignShowImprovement=TRUE)*ROW(_4DesignFeatures)-ROW(DF_Calc!$B$5),ROWS($A$2:A12))),"")</f>
        <v>If the technology fails so that it cannot be used anymore, no failure will pose a continual health risk to the public or the environment beyond making the technology unavailable for use.</v>
      </c>
      <c r="E30" s="204" t="str" cm="1">
        <f t="array" ref="E30">IF(ROWS($A$2:A12)&lt;=(COUNTIF(_4DesignShowImprovement,TRUE)), INDEX(_4DesignClimate,_xlfn.AGGREGATE(15,3,(_4DesignShowImprovement=TRUE)/(_4DesignShowImprovement=TRUE)*ROW(_4DesignFeatures)-ROW(DF_Calc!$B$5),ROWS($A$2:A12))),"")</f>
        <v/>
      </c>
      <c r="F30" s="282" t="str" cm="1">
        <f t="array" ref="F30">IF(ROWS($A$2:A12)&lt;=(COUNTIF(_4DesignShowImprovement,TRUE)), INDEX(_4DesignImprovement,_xlfn.AGGREGATE(15,3,(_4DesignShowImprovement=TRUE)/(_4DesignShowImprovement=TRUE)*ROW(_4DesignFeatures)-ROW(DF_Calc!$B$5),ROWS($A$2:A12))),"")</f>
        <v>Could consider HDPE linings around the outside of the ABR to limit public health risks in the event of leakage/damage.</v>
      </c>
      <c r="G30" s="274"/>
    </row>
    <row r="31" spans="2:7" ht="55.25" customHeight="1">
      <c r="B31" s="280"/>
      <c r="C31" s="218" t="str" cm="1">
        <f t="array" ref="C31">IF(ROWS($A$2:A13)&lt;=(COUNTIF(_4DesignShowImprovement,TRUE)), INDEX(_4DesignFeatures,_xlfn.AGGREGATE(15,3,(_4DesignShowImprovement=TRUE)/(_4DesignShowImprovement=TRUE)*ROW(_4DesignFeatures)-ROW(DF_Calc!$B$5),ROWS($A$2:A13))),"")</f>
        <v>Accessibility for rapid flaw detection and repair</v>
      </c>
      <c r="D31" s="254" t="str" cm="1">
        <f t="array" ref="D31">IF(ROWS($A$2:A13)&lt;=(COUNTIF(_4DesignShowImprovement,TRUE)), INDEX(_4DesignBlurb,_xlfn.AGGREGATE(15,3,(_4DesignShowImprovement=TRUE)/(_4DesignShowImprovement=TRUE)*ROW(_4DesignFeatures)-ROW(DF_Calc!$B$5),ROWS($A$2:A13))),"")</f>
        <v>Components or processes of the technology can be easily accessed for examination.</v>
      </c>
      <c r="E31" s="204" t="str" cm="1">
        <f t="array" ref="E31">IF(ROWS($A$2:A13)&lt;=(COUNTIF(_4DesignShowImprovement,TRUE)), INDEX(_4DesignClimate,_xlfn.AGGREGATE(15,3,(_4DesignShowImprovement=TRUE)/(_4DesignShowImprovement=TRUE)*ROW(_4DesignFeatures)-ROW(DF_Calc!$B$5),ROWS($A$2:A13))),"")</f>
        <v>Access to some chambers may be difficult if full of sludge or water. This will also present a health risk to those doing repairs. There is also no way to shut off continued use during repairs.</v>
      </c>
      <c r="F31" s="282" t="str" cm="1">
        <f t="array" ref="F31">IF(ROWS($A$2:A13)&lt;=(COUNTIF(_4DesignShowImprovement,TRUE)), INDEX(_4DesignImprovement,_xlfn.AGGREGATE(15,3,(_4DesignShowImprovement=TRUE)/(_4DesignShowImprovement=TRUE)*ROW(_4DesignFeatures)-ROW(DF_Calc!$B$5),ROWS($A$2:A13))),"")</f>
        <v>Introduce shut off valve and ways to shut off toilets that feed into the ABR as needed. As noted earlier, the ability to bypass certain chamers would also help in repairing one chamber while others continue to function. A 'repair' procedure and required tools/equipment should be provided with each ABR, and ideally ABRs should only be installed where trained personnel are available to conduct repairs safely.</v>
      </c>
      <c r="G31" s="274"/>
    </row>
    <row r="32" spans="2:7" ht="55.25" customHeight="1">
      <c r="B32" s="280"/>
      <c r="C32" s="218" t="str" cm="1">
        <f t="array" ref="C32">IF(ROWS($A$2:A14)&lt;=(COUNTIF(_4DesignShowImprovement,TRUE)), INDEX(_4DesignFeatures,_xlfn.AGGREGATE(15,3,(_4DesignShowImprovement=TRUE)/(_4DesignShowImprovement=TRUE)*ROW(_4DesignFeatures)-ROW(DF_Calc!$B$5),ROWS($A$2:A14))),"")</f>
        <v>Reciprocity</v>
      </c>
      <c r="D32" s="254" t="str" cm="1">
        <f t="array" ref="D32">IF(ROWS($A$2:A14)&lt;=(COUNTIF(_4DesignShowImprovement,TRUE)), INDEX(_4DesignBlurb,_xlfn.AGGREGATE(15,3,(_4DesignShowImprovement=TRUE)/(_4DesignShowImprovement=TRUE)*ROW(_4DesignFeatures)-ROW(DF_Calc!$B$5),ROWS($A$2:A14))),"")</f>
        <v>By providing its service, the technology produces outputs that build resilience in, or aid, another on-site or off-site system.</v>
      </c>
      <c r="E32" s="204" t="str" cm="1">
        <f t="array" ref="E32">IF(ROWS($A$2:A14)&lt;=(COUNTIF(_4DesignShowImprovement,TRUE)), INDEX(_4DesignClimate,_xlfn.AGGREGATE(15,3,(_4DesignShowImprovement=TRUE)/(_4DesignShowImprovement=TRUE)*ROW(_4DesignFeatures)-ROW(DF_Calc!$B$5),ROWS($A$2:A14))),"")</f>
        <v/>
      </c>
      <c r="F32" s="282" t="str" cm="1">
        <f t="array" ref="F32">IF(ROWS($A$2:A14)&lt;=(COUNTIF(_4DesignShowImprovement,TRUE)), INDEX(_4DesignImprovement,_xlfn.AGGREGATE(15,3,(_4DesignShowImprovement=TRUE)/(_4DesignShowImprovement=TRUE)*ROW(_4DesignFeatures)-ROW(DF_Calc!$B$5),ROWS($A$2:A14))),"")</f>
        <v>If a soak pit or leach field was incorporated into the design, it could incorporate plantings to provide other functionality (e.g. animal feed), assuming it could be done without public health risk.</v>
      </c>
      <c r="G32" s="274"/>
    </row>
    <row r="33" spans="2:8" ht="55.25" customHeight="1">
      <c r="B33" s="280"/>
      <c r="C33" s="218" t="str" cm="1">
        <f t="array" ref="C33">IF(ROWS($A$2:A15)&lt;=(COUNTIF(_4DesignShowImprovement,TRUE)), INDEX(_4DesignFeatures,_xlfn.AGGREGATE(15,3,(_4DesignShowImprovement=TRUE)/(_4DesignShowImprovement=TRUE)*ROW(_4DesignFeatures)-ROW(DF_Calc!$B$5),ROWS($A$2:A15))),"")</f>
        <v/>
      </c>
      <c r="D33" s="254" t="str" cm="1">
        <f t="array" ref="D33">IF(ROWS($A$2:A15)&lt;=(COUNTIF(_4DesignShowImprovement,TRUE)), INDEX(_4DesignBlurb,_xlfn.AGGREGATE(15,3,(_4DesignShowImprovement=TRUE)/(_4DesignShowImprovement=TRUE)*ROW(_4DesignFeatures)-ROW(DF_Calc!$B$5),ROWS($A$2:A15))),"")</f>
        <v/>
      </c>
      <c r="E33" s="204" t="str" cm="1">
        <f t="array" ref="E33">IF(ROWS($A$2:A15)&lt;=(COUNTIF(_4DesignShowImprovement,TRUE)), INDEX(_4DesignClimate,_xlfn.AGGREGATE(15,3,(_4DesignShowImprovement=TRUE)/(_4DesignShowImprovement=TRUE)*ROW(_4DesignFeatures)-ROW(DF_Calc!$B$5),ROWS($A$2:A15))),"")</f>
        <v/>
      </c>
      <c r="F33" s="282" t="str" cm="1">
        <f t="array" ref="F33">IF(ROWS($A$2:A15)&lt;=(COUNTIF(_4DesignShowImprovement,TRUE)), INDEX(_4DesignImprovement,_xlfn.AGGREGATE(15,3,(_4DesignShowImprovement=TRUE)/(_4DesignShowImprovement=TRUE)*ROW(_4DesignFeatures)-ROW(DF_Calc!$B$5),ROWS($A$2:A15))),"")</f>
        <v/>
      </c>
      <c r="G33" s="274"/>
    </row>
    <row r="34" spans="2:8" ht="55.25" customHeight="1">
      <c r="B34" s="280"/>
      <c r="C34" s="218" t="str" cm="1">
        <f t="array" ref="C34">IF(ROWS($A$2:A16)&lt;=(COUNTIF(_4DesignShowImprovement,TRUE)), INDEX(_4DesignFeatures,_xlfn.AGGREGATE(15,3,(_4DesignShowImprovement=TRUE)/(_4DesignShowImprovement=TRUE)*ROW(_4DesignFeatures)-ROW(DF_Calc!$B$5),ROWS($A$2:A16))),"")</f>
        <v/>
      </c>
      <c r="D34" s="254" t="str" cm="1">
        <f t="array" ref="D34">IF(ROWS($A$2:A16)&lt;=(COUNTIF(_4DesignShowImprovement,TRUE)), INDEX(_4DesignBlurb,_xlfn.AGGREGATE(15,3,(_4DesignShowImprovement=TRUE)/(_4DesignShowImprovement=TRUE)*ROW(_4DesignFeatures)-ROW(DF_Calc!$B$5),ROWS($A$2:A16))),"")</f>
        <v/>
      </c>
      <c r="E34" s="204" t="str" cm="1">
        <f t="array" ref="E34">IF(ROWS($A$2:A16)&lt;=(COUNTIF(_4DesignShowImprovement,TRUE)), INDEX(_4DesignClimate,_xlfn.AGGREGATE(15,3,(_4DesignShowImprovement=TRUE)/(_4DesignShowImprovement=TRUE)*ROW(_4DesignFeatures)-ROW(DF_Calc!$B$5),ROWS($A$2:A16))),"")</f>
        <v/>
      </c>
      <c r="F34" s="282" t="str" cm="1">
        <f t="array" ref="F34">IF(ROWS($A$2:A16)&lt;=(COUNTIF(_4DesignShowImprovement,TRUE)), INDEX(_4DesignImprovement,_xlfn.AGGREGATE(15,3,(_4DesignShowImprovement=TRUE)/(_4DesignShowImprovement=TRUE)*ROW(_4DesignFeatures)-ROW(DF_Calc!$B$5),ROWS($A$2:A16))),"")</f>
        <v/>
      </c>
      <c r="G34" s="274"/>
    </row>
    <row r="35" spans="2:8" ht="55.25" customHeight="1">
      <c r="B35" s="280"/>
      <c r="C35" s="218" t="str" cm="1">
        <f t="array" ref="C35">IF(ROWS($A$2:A17)&lt;=(COUNTIF(_4DesignShowImprovement,TRUE)), INDEX(_4DesignFeatures,_xlfn.AGGREGATE(15,3,(_4DesignShowImprovement=TRUE)/(_4DesignShowImprovement=TRUE)*ROW(_4DesignFeatures)-ROW(DF_Calc!$B$5),ROWS($A$2:A17))),"")</f>
        <v/>
      </c>
      <c r="D35" s="254" t="str" cm="1">
        <f t="array" ref="D35">IF(ROWS($A$2:A17)&lt;=(COUNTIF(_4DesignShowImprovement,TRUE)), INDEX(_4DesignBlurb,_xlfn.AGGREGATE(15,3,(_4DesignShowImprovement=TRUE)/(_4DesignShowImprovement=TRUE)*ROW(_4DesignFeatures)-ROW(DF_Calc!$B$5),ROWS($A$2:A17))),"")</f>
        <v/>
      </c>
      <c r="E35" s="204" t="str" cm="1">
        <f t="array" ref="E35">IF(ROWS($A$2:A17)&lt;=(COUNTIF(_4DesignShowImprovement,TRUE)), INDEX(_4DesignClimate,_xlfn.AGGREGATE(15,3,(_4DesignShowImprovement=TRUE)/(_4DesignShowImprovement=TRUE)*ROW(_4DesignFeatures)-ROW(DF_Calc!$B$5),ROWS($A$2:A17))),"")</f>
        <v/>
      </c>
      <c r="F35" s="282" t="str" cm="1">
        <f t="array" ref="F35">IF(ROWS($A$2:A17)&lt;=(COUNTIF(_4DesignShowImprovement,TRUE)), INDEX(_4DesignImprovement,_xlfn.AGGREGATE(15,3,(_4DesignShowImprovement=TRUE)/(_4DesignShowImprovement=TRUE)*ROW(_4DesignFeatures)-ROW(DF_Calc!$B$5),ROWS($A$2:A17))),"")</f>
        <v/>
      </c>
      <c r="G35" s="274"/>
    </row>
    <row r="36" spans="2:8" ht="55.25" customHeight="1">
      <c r="B36" s="280"/>
      <c r="C36" s="218" t="str" cm="1">
        <f t="array" ref="C36">IF(ROWS($A$2:A18)&lt;=(COUNTIF(_4DesignShowImprovement,TRUE)), INDEX(_4DesignFeatures,_xlfn.AGGREGATE(15,3,(_4DesignShowImprovement=TRUE)/(_4DesignShowImprovement=TRUE)*ROW(_4DesignFeatures)-ROW(DF_Calc!$B$5),ROWS($A$2:A18))),"")</f>
        <v/>
      </c>
      <c r="D36" s="254" t="str" cm="1">
        <f t="array" ref="D36">IF(ROWS($A$2:A18)&lt;=(COUNTIF(_4DesignShowImprovement,TRUE)), INDEX(_4DesignBlurb,_xlfn.AGGREGATE(15,3,(_4DesignShowImprovement=TRUE)/(_4DesignShowImprovement=TRUE)*ROW(_4DesignFeatures)-ROW(DF_Calc!$B$5),ROWS($A$2:A18))),"")</f>
        <v/>
      </c>
      <c r="E36" s="204" t="str" cm="1">
        <f t="array" ref="E36">IF(ROWS($A$2:A18)&lt;=(COUNTIF(_4DesignShowImprovement,TRUE)), INDEX(_4DesignClimate,_xlfn.AGGREGATE(15,3,(_4DesignShowImprovement=TRUE)/(_4DesignShowImprovement=TRUE)*ROW(_4DesignFeatures)-ROW(DF_Calc!$B$5),ROWS($A$2:A18))),"")</f>
        <v/>
      </c>
      <c r="F36" s="282" t="str" cm="1">
        <f t="array" ref="F36">IF(ROWS($A$2:A18)&lt;=(COUNTIF(_4DesignShowImprovement,TRUE)), INDEX(_4DesignImprovement,_xlfn.AGGREGATE(15,3,(_4DesignShowImprovement=TRUE)/(_4DesignShowImprovement=TRUE)*ROW(_4DesignFeatures)-ROW(DF_Calc!$B$5),ROWS($A$2:A18))),"")</f>
        <v/>
      </c>
      <c r="G36" s="274"/>
    </row>
    <row r="37" spans="2:8" ht="55.25" customHeight="1">
      <c r="B37" s="280"/>
      <c r="C37" s="218" t="str" cm="1">
        <f t="array" ref="C37">IF(ROWS($A$2:A19)&lt;=(COUNTIF(_4DesignShowImprovement,TRUE)), INDEX(_4DesignFeatures,_xlfn.AGGREGATE(15,3,(_4DesignShowImprovement=TRUE)/(_4DesignShowImprovement=TRUE)*ROW(_4DesignFeatures)-ROW(DF_Calc!$B$5),ROWS($A$2:A19))),"")</f>
        <v/>
      </c>
      <c r="D37" s="254" t="str" cm="1">
        <f t="array" ref="D37">IF(ROWS($A$2:A19)&lt;=(COUNTIF(_4DesignShowImprovement,TRUE)), INDEX(_4DesignBlurb,_xlfn.AGGREGATE(15,3,(_4DesignShowImprovement=TRUE)/(_4DesignShowImprovement=TRUE)*ROW(_4DesignFeatures)-ROW(DF_Calc!$B$5),ROWS($A$2:A19))),"")</f>
        <v/>
      </c>
      <c r="E37" s="204" t="str" cm="1">
        <f t="array" ref="E37">IF(ROWS($A$2:A19)&lt;=(COUNTIF(_4DesignShowImprovement,TRUE)), INDEX(_4DesignClimate,_xlfn.AGGREGATE(15,3,(_4DesignShowImprovement=TRUE)/(_4DesignShowImprovement=TRUE)*ROW(_4DesignFeatures)-ROW(DF_Calc!$B$5),ROWS($A$2:A19))),"")</f>
        <v/>
      </c>
      <c r="F37" s="282" t="str" cm="1">
        <f t="array" ref="F37">IF(ROWS($A$2:A19)&lt;=(COUNTIF(_4DesignShowImprovement,TRUE)), INDEX(_4DesignImprovement,_xlfn.AGGREGATE(15,3,(_4DesignShowImprovement=TRUE)/(_4DesignShowImprovement=TRUE)*ROW(_4DesignFeatures)-ROW(DF_Calc!$B$5),ROWS($A$2:A19))),"")</f>
        <v/>
      </c>
      <c r="G37" s="274"/>
    </row>
    <row r="38" spans="2:8" ht="55.25" customHeight="1">
      <c r="B38" s="280"/>
      <c r="C38" s="218" t="str" cm="1">
        <f t="array" ref="C38">IF(ROWS($A$2:A20)&lt;=(COUNTIF(_4DesignShowImprovement,TRUE)), INDEX(_4DesignFeatures,_xlfn.AGGREGATE(15,3,(_4DesignShowImprovement=TRUE)/(_4DesignShowImprovement=TRUE)*ROW(_4DesignFeatures)-ROW(DF_Calc!$B$5),ROWS($A$2:A20))),"")</f>
        <v/>
      </c>
      <c r="D38" s="254" t="str" cm="1">
        <f t="array" ref="D38">IF(ROWS($A$2:A20)&lt;=(COUNTIF(_4DesignShowImprovement,TRUE)), INDEX(_4DesignBlurb,_xlfn.AGGREGATE(15,3,(_4DesignShowImprovement=TRUE)/(_4DesignShowImprovement=TRUE)*ROW(_4DesignFeatures)-ROW(DF_Calc!$B$5),ROWS($A$2:A20))),"")</f>
        <v/>
      </c>
      <c r="E38" s="204" t="str" cm="1">
        <f t="array" ref="E38">IF(ROWS($A$2:A20)&lt;=(COUNTIF(_4DesignShowImprovement,TRUE)), INDEX(_4DesignClimate,_xlfn.AGGREGATE(15,3,(_4DesignShowImprovement=TRUE)/(_4DesignShowImprovement=TRUE)*ROW(_4DesignFeatures)-ROW(DF_Calc!$B$5),ROWS($A$2:A20))),"")</f>
        <v/>
      </c>
      <c r="F38" s="282" t="str" cm="1">
        <f t="array" ref="F38">IF(ROWS($A$2:A20)&lt;=(COUNTIF(_4DesignShowImprovement,TRUE)), INDEX(_4DesignImprovement,_xlfn.AGGREGATE(15,3,(_4DesignShowImprovement=TRUE)/(_4DesignShowImprovement=TRUE)*ROW(_4DesignFeatures)-ROW(DF_Calc!$B$5),ROWS($A$2:A20))),"")</f>
        <v/>
      </c>
      <c r="G38" s="274"/>
    </row>
    <row r="39" spans="2:8" ht="55.25" customHeight="1">
      <c r="B39" s="280"/>
      <c r="C39" s="218" t="str" cm="1">
        <f t="array" ref="C39">IF(ROWS($A$2:A21)&lt;=(COUNTIF(_4DesignShowImprovement,TRUE)), INDEX(_4DesignFeatures,_xlfn.AGGREGATE(15,3,(_4DesignShowImprovement=TRUE)/(_4DesignShowImprovement=TRUE)*ROW(_4DesignFeatures)-ROW(DF_Calc!$B$5),ROWS($A$2:A21))),"")</f>
        <v/>
      </c>
      <c r="D39" s="254" t="str" cm="1">
        <f t="array" ref="D39">IF(ROWS($A$2:A21)&lt;=(COUNTIF(_4DesignShowImprovement,TRUE)), INDEX(_4DesignBlurb,_xlfn.AGGREGATE(15,3,(_4DesignShowImprovement=TRUE)/(_4DesignShowImprovement=TRUE)*ROW(_4DesignFeatures)-ROW(DF_Calc!$B$5),ROWS($A$2:A21))),"")</f>
        <v/>
      </c>
      <c r="E39" s="204" t="str" cm="1">
        <f t="array" ref="E39">IF(ROWS($A$2:A21)&lt;=(COUNTIF(_4DesignShowImprovement,TRUE)), INDEX(_4DesignClimate,_xlfn.AGGREGATE(15,3,(_4DesignShowImprovement=TRUE)/(_4DesignShowImprovement=TRUE)*ROW(_4DesignFeatures)-ROW(DF_Calc!$B$5),ROWS($A$2:A21))),"")</f>
        <v/>
      </c>
      <c r="F39" s="282" t="str" cm="1">
        <f t="array" ref="F39">IF(ROWS($A$2:A21)&lt;=(COUNTIF(_4DesignShowImprovement,TRUE)), INDEX(_4DesignImprovement,_xlfn.AGGREGATE(15,3,(_4DesignShowImprovement=TRUE)/(_4DesignShowImprovement=TRUE)*ROW(_4DesignFeatures)-ROW(DF_Calc!$B$5),ROWS($A$2:A21))),"")</f>
        <v/>
      </c>
      <c r="G39" s="274"/>
    </row>
    <row r="40" spans="2:8" ht="55.25" customHeight="1">
      <c r="B40" s="280"/>
      <c r="C40" s="218" t="str" cm="1">
        <f t="array" ref="C40">IF(ROWS($A$2:A22)&lt;=(COUNTIF(_4DesignShowImprovement,TRUE)), INDEX(_4DesignFeatures,_xlfn.AGGREGATE(15,3,(_4DesignShowImprovement=TRUE)/(_4DesignShowImprovement=TRUE)*ROW(_4DesignFeatures)-ROW(DF_Calc!$B$5),ROWS($A$2:A22))),"")</f>
        <v/>
      </c>
      <c r="D40" s="254" t="str" cm="1">
        <f t="array" ref="D40">IF(ROWS($A$2:A22)&lt;=(COUNTIF(_4DesignShowImprovement,TRUE)), INDEX(_4DesignBlurb,_xlfn.AGGREGATE(15,3,(_4DesignShowImprovement=TRUE)/(_4DesignShowImprovement=TRUE)*ROW(_4DesignFeatures)-ROW(DF_Calc!$B$5),ROWS($A$2:A22))),"")</f>
        <v/>
      </c>
      <c r="E40" s="204" t="str" cm="1">
        <f t="array" ref="E40">IF(ROWS($A$2:A22)&lt;=(COUNTIF(_4DesignShowImprovement,TRUE)), INDEX(_4DesignClimate,_xlfn.AGGREGATE(15,3,(_4DesignShowImprovement=TRUE)/(_4DesignShowImprovement=TRUE)*ROW(_4DesignFeatures)-ROW(DF_Calc!$B$5),ROWS($A$2:A22))),"")</f>
        <v/>
      </c>
      <c r="F40" s="282" t="str" cm="1">
        <f t="array" ref="F40">IF(ROWS($A$2:A22)&lt;=(COUNTIF(_4DesignShowImprovement,TRUE)), INDEX(_4DesignImprovement,_xlfn.AGGREGATE(15,3,(_4DesignShowImprovement=TRUE)/(_4DesignShowImprovement=TRUE)*ROW(_4DesignFeatures)-ROW(DF_Calc!$B$5),ROWS($A$2:A22))),"")</f>
        <v/>
      </c>
      <c r="G40" s="274"/>
    </row>
    <row r="41" spans="2:8" ht="55.25" customHeight="1">
      <c r="B41" s="280"/>
      <c r="C41" s="218" t="str" cm="1">
        <f t="array" ref="C41">IF(ROWS($A$2:A23)&lt;=(COUNTIF(_4DesignShowImprovement,TRUE)), INDEX(_4DesignFeatures,_xlfn.AGGREGATE(15,3,(_4DesignShowImprovement=TRUE)/(_4DesignShowImprovement=TRUE)*ROW(_4DesignFeatures)-ROW(DF_Calc!$B$5),ROWS($A$2:A23))),"")</f>
        <v/>
      </c>
      <c r="D41" s="254" t="str" cm="1">
        <f t="array" ref="D41">IF(ROWS($A$2:A23)&lt;=(COUNTIF(_4DesignShowImprovement,TRUE)), INDEX(_4DesignBlurb,_xlfn.AGGREGATE(15,3,(_4DesignShowImprovement=TRUE)/(_4DesignShowImprovement=TRUE)*ROW(_4DesignFeatures)-ROW(DF_Calc!$B$5),ROWS($A$2:A23))),"")</f>
        <v/>
      </c>
      <c r="E41" s="204" t="str" cm="1">
        <f t="array" ref="E41">IF(ROWS($A$2:A23)&lt;=(COUNTIF(_4DesignShowImprovement,TRUE)), INDEX(_4DesignClimate,_xlfn.AGGREGATE(15,3,(_4DesignShowImprovement=TRUE)/(_4DesignShowImprovement=TRUE)*ROW(_4DesignFeatures)-ROW(DF_Calc!$B$5),ROWS($A$2:A23))),"")</f>
        <v/>
      </c>
      <c r="F41" s="282" t="str" cm="1">
        <f t="array" ref="F41">IF(ROWS($A$2:A23)&lt;=(COUNTIF(_4DesignShowImprovement,TRUE)), INDEX(_4DesignImprovement,_xlfn.AGGREGATE(15,3,(_4DesignShowImprovement=TRUE)/(_4DesignShowImprovement=TRUE)*ROW(_4DesignFeatures)-ROW(DF_Calc!$B$5),ROWS($A$2:A23))),"")</f>
        <v/>
      </c>
      <c r="G41" s="274"/>
    </row>
    <row r="42" spans="2:8" ht="55.25" customHeight="1">
      <c r="B42" s="280"/>
      <c r="C42" s="218" t="str" cm="1">
        <f t="array" ref="C42">IF(ROWS($A$2:A24)&lt;=(COUNTIF(_4DesignShowImprovement,TRUE)), INDEX(_4DesignFeatures,_xlfn.AGGREGATE(15,3,(_4DesignShowImprovement=TRUE)/(_4DesignShowImprovement=TRUE)*ROW(_4DesignFeatures)-ROW(DF_Calc!$B$5),ROWS($A$2:A24))),"")</f>
        <v/>
      </c>
      <c r="D42" s="254" t="str" cm="1">
        <f t="array" ref="D42">IF(ROWS($A$2:A24)&lt;=(COUNTIF(_4DesignShowImprovement,TRUE)), INDEX(_4DesignBlurb,_xlfn.AGGREGATE(15,3,(_4DesignShowImprovement=TRUE)/(_4DesignShowImprovement=TRUE)*ROW(_4DesignFeatures)-ROW(DF_Calc!$B$5),ROWS($A$2:A24))),"")</f>
        <v/>
      </c>
      <c r="E42" s="204" t="str" cm="1">
        <f t="array" ref="E42">IF(ROWS($A$2:A24)&lt;=(COUNTIF(_4DesignShowImprovement,TRUE)), INDEX(_4DesignClimate,_xlfn.AGGREGATE(15,3,(_4DesignShowImprovement=TRUE)/(_4DesignShowImprovement=TRUE)*ROW(_4DesignFeatures)-ROW(DF_Calc!$B$5),ROWS($A$2:A24))),"")</f>
        <v/>
      </c>
      <c r="F42" s="282" t="str" cm="1">
        <f t="array" ref="F42">IF(ROWS($A$2:A24)&lt;=(COUNTIF(_4DesignShowImprovement,TRUE)), INDEX(_4DesignImprovement,_xlfn.AGGREGATE(15,3,(_4DesignShowImprovement=TRUE)/(_4DesignShowImprovement=TRUE)*ROW(_4DesignFeatures)-ROW(DF_Calc!$B$5),ROWS($A$2:A24))),"")</f>
        <v/>
      </c>
      <c r="G42" s="274"/>
    </row>
    <row r="43" spans="2:8" ht="55.25" customHeight="1">
      <c r="B43" s="280"/>
      <c r="C43" s="218" t="str" cm="1">
        <f t="array" ref="C43">IF(ROWS($A$2:A25)&lt;=(COUNTIF(_4DesignShowImprovement,TRUE)), INDEX(_4DesignFeatures,_xlfn.AGGREGATE(15,3,(_4DesignShowImprovement=TRUE)/(_4DesignShowImprovement=TRUE)*ROW(_4DesignFeatures)-ROW(DF_Calc!$B$5),ROWS($A$2:A25))),"")</f>
        <v/>
      </c>
      <c r="D43" s="254" t="str" cm="1">
        <f t="array" ref="D43">IF(ROWS($A$2:A25)&lt;=(COUNTIF(_4DesignShowImprovement,TRUE)), INDEX(_4DesignBlurb,_xlfn.AGGREGATE(15,3,(_4DesignShowImprovement=TRUE)/(_4DesignShowImprovement=TRUE)*ROW(_4DesignFeatures)-ROW(DF_Calc!$B$5),ROWS($A$2:A25))),"")</f>
        <v/>
      </c>
      <c r="E43" s="204" t="str" cm="1">
        <f t="array" ref="E43">IF(ROWS($A$2:A25)&lt;=(COUNTIF(_4DesignShowImprovement,TRUE)), INDEX(_4DesignClimate,_xlfn.AGGREGATE(15,3,(_4DesignShowImprovement=TRUE)/(_4DesignShowImprovement=TRUE)*ROW(_4DesignFeatures)-ROW(DF_Calc!$B$5),ROWS($A$2:A25))),"")</f>
        <v/>
      </c>
      <c r="F43" s="282" t="str" cm="1">
        <f t="array" ref="F43">IF(ROWS($A$2:A25)&lt;=(COUNTIF(_4DesignShowImprovement,TRUE)), INDEX(_4DesignImprovement,_xlfn.AGGREGATE(15,3,(_4DesignShowImprovement=TRUE)/(_4DesignShowImprovement=TRUE)*ROW(_4DesignFeatures)-ROW(DF_Calc!$B$5),ROWS($A$2:A25))),"")</f>
        <v/>
      </c>
      <c r="G43" s="274"/>
    </row>
    <row r="44" spans="2:8" ht="55.25" customHeight="1">
      <c r="B44" s="280"/>
      <c r="C44" s="218" t="str" cm="1">
        <f t="array" ref="C44">IF(ROWS($A$2:A26)&lt;=(COUNTIF(_4DesignShowImprovement,TRUE)), INDEX(_4DesignFeatures,_xlfn.AGGREGATE(15,3,(_4DesignShowImprovement=TRUE)/(_4DesignShowImprovement=TRUE)*ROW(_4DesignFeatures)-ROW(DF_Calc!$B$5),ROWS($A$2:A26))),"")</f>
        <v/>
      </c>
      <c r="D44" s="254" t="str" cm="1">
        <f t="array" ref="D44">IF(ROWS($A$2:A26)&lt;=(COUNTIF(_4DesignShowImprovement,TRUE)), INDEX(_4DesignBlurb,_xlfn.AGGREGATE(15,3,(_4DesignShowImprovement=TRUE)/(_4DesignShowImprovement=TRUE)*ROW(_4DesignFeatures)-ROW(DF_Calc!$B$5),ROWS($A$2:A26))),"")</f>
        <v/>
      </c>
      <c r="E44" s="204" t="str" cm="1">
        <f t="array" ref="E44">IF(ROWS($A$2:A26)&lt;=(COUNTIF(_4DesignShowImprovement,TRUE)), INDEX(_4DesignClimate,_xlfn.AGGREGATE(15,3,(_4DesignShowImprovement=TRUE)/(_4DesignShowImprovement=TRUE)*ROW(_4DesignFeatures)-ROW(DF_Calc!$B$5),ROWS($A$2:A26))),"")</f>
        <v/>
      </c>
      <c r="F44" s="282" t="str" cm="1">
        <f t="array" ref="F44">IF(ROWS($A$2:A26)&lt;=(COUNTIF(_4DesignShowImprovement,TRUE)), INDEX(_4DesignImprovement,_xlfn.AGGREGATE(15,3,(_4DesignShowImprovement=TRUE)/(_4DesignShowImprovement=TRUE)*ROW(_4DesignFeatures)-ROW(DF_Calc!$B$5),ROWS($A$2:A26))),"")</f>
        <v/>
      </c>
      <c r="G44" s="274"/>
    </row>
    <row r="45" spans="2:8" ht="15" thickBot="1">
      <c r="B45" s="281"/>
      <c r="C45" s="217"/>
      <c r="D45" s="217"/>
      <c r="E45" s="217"/>
      <c r="F45" s="217"/>
      <c r="G45" s="275"/>
      <c r="H45" s="276"/>
    </row>
    <row r="46" spans="2:8" s="262" customFormat="1"/>
  </sheetData>
  <mergeCells count="3">
    <mergeCell ref="C15:F15"/>
    <mergeCell ref="C18:D18"/>
    <mergeCell ref="C4:F14"/>
  </mergeCells>
  <conditionalFormatting sqref="C20:C44">
    <cfRule type="expression" dxfId="7" priority="5">
      <formula>$D20="No"</formula>
    </cfRule>
    <cfRule type="expression" dxfId="6" priority="6">
      <formula>AND($C20=0,ISBLANK($C20)=FALSE)</formula>
    </cfRule>
  </conditionalFormatting>
  <conditionalFormatting sqref="D20:E44">
    <cfRule type="expression" dxfId="5" priority="2">
      <formula>D20="Low Impact"</formula>
    </cfRule>
    <cfRule type="expression" dxfId="4" priority="3">
      <formula>D20="High Impact"</formula>
    </cfRule>
    <cfRule type="expression" dxfId="3" priority="4">
      <formula>D20="Moderate Impact"</formula>
    </cfRule>
  </conditionalFormatting>
  <conditionalFormatting sqref="D20:F44">
    <cfRule type="expression" dxfId="2" priority="1">
      <formula>$D20="No"</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R12"/>
  <sheetViews>
    <sheetView workbookViewId="0">
      <selection activeCell="E17" sqref="E17"/>
    </sheetView>
  </sheetViews>
  <sheetFormatPr baseColWidth="10" defaultColWidth="8.83203125" defaultRowHeight="14"/>
  <cols>
    <col min="1" max="1" width="18.6640625" customWidth="1"/>
    <col min="2" max="3" width="16.33203125" customWidth="1"/>
    <col min="4" max="4" width="17.5" customWidth="1"/>
    <col min="5" max="7" width="19.5" customWidth="1"/>
    <col min="10" max="10" width="26.6640625" customWidth="1"/>
  </cols>
  <sheetData>
    <row r="1" spans="1:18">
      <c r="A1" s="4" t="s">
        <v>45</v>
      </c>
      <c r="B1" s="4"/>
      <c r="C1" s="4"/>
      <c r="D1" s="4"/>
      <c r="E1" s="4"/>
      <c r="F1" s="4"/>
      <c r="G1" s="4"/>
      <c r="H1" s="5"/>
      <c r="I1" s="5"/>
      <c r="J1" s="5"/>
      <c r="K1" s="5"/>
      <c r="L1" s="5"/>
      <c r="M1" s="5"/>
      <c r="N1" s="5"/>
      <c r="O1" s="5"/>
      <c r="P1" s="5"/>
      <c r="Q1" s="5"/>
      <c r="R1" s="5"/>
    </row>
    <row r="2" spans="1:18">
      <c r="A2" t="s">
        <v>35</v>
      </c>
      <c r="B2" t="s">
        <v>40</v>
      </c>
      <c r="C2" t="s">
        <v>41</v>
      </c>
      <c r="D2" t="s">
        <v>37</v>
      </c>
      <c r="E2" t="s">
        <v>43</v>
      </c>
      <c r="F2" t="s">
        <v>171</v>
      </c>
      <c r="G2" t="s">
        <v>173</v>
      </c>
      <c r="H2" t="s">
        <v>48</v>
      </c>
      <c r="I2" t="s">
        <v>54</v>
      </c>
      <c r="J2" s="6" t="s">
        <v>128</v>
      </c>
      <c r="K2" t="s">
        <v>138</v>
      </c>
    </row>
    <row r="3" spans="1:18">
      <c r="A3" t="s">
        <v>227</v>
      </c>
      <c r="B3" t="s">
        <v>217</v>
      </c>
      <c r="C3" t="s">
        <v>5</v>
      </c>
      <c r="D3" t="s">
        <v>38</v>
      </c>
      <c r="G3" t="s">
        <v>174</v>
      </c>
      <c r="H3" t="s">
        <v>44</v>
      </c>
      <c r="I3" t="s">
        <v>0</v>
      </c>
      <c r="J3" s="16" t="s">
        <v>249</v>
      </c>
      <c r="K3" t="s">
        <v>38</v>
      </c>
    </row>
    <row r="4" spans="1:18">
      <c r="A4" t="s">
        <v>217</v>
      </c>
      <c r="B4" t="s">
        <v>225</v>
      </c>
      <c r="C4" t="s">
        <v>42</v>
      </c>
      <c r="D4" t="s">
        <v>137</v>
      </c>
      <c r="E4" t="s">
        <v>168</v>
      </c>
      <c r="F4">
        <v>0.01</v>
      </c>
      <c r="G4" t="s">
        <v>175</v>
      </c>
      <c r="H4" t="s">
        <v>49</v>
      </c>
      <c r="I4" t="s">
        <v>21</v>
      </c>
      <c r="J4" s="15" t="s">
        <v>194</v>
      </c>
      <c r="K4" t="s">
        <v>143</v>
      </c>
    </row>
    <row r="5" spans="1:18">
      <c r="A5" t="s">
        <v>225</v>
      </c>
      <c r="C5" t="s">
        <v>4</v>
      </c>
      <c r="D5" t="s">
        <v>39</v>
      </c>
      <c r="E5" t="s">
        <v>169</v>
      </c>
      <c r="F5">
        <v>0.5</v>
      </c>
      <c r="G5" t="s">
        <v>176</v>
      </c>
      <c r="I5" t="s">
        <v>22</v>
      </c>
      <c r="J5" s="15" t="s">
        <v>200</v>
      </c>
      <c r="K5" t="s">
        <v>137</v>
      </c>
    </row>
    <row r="6" spans="1:18">
      <c r="E6" t="s">
        <v>170</v>
      </c>
      <c r="F6">
        <v>0.99</v>
      </c>
      <c r="I6" t="s">
        <v>23</v>
      </c>
      <c r="J6" s="15" t="s">
        <v>211</v>
      </c>
      <c r="K6" t="s">
        <v>139</v>
      </c>
    </row>
    <row r="7" spans="1:18">
      <c r="I7" t="s">
        <v>24</v>
      </c>
      <c r="J7" s="15" t="s">
        <v>195</v>
      </c>
      <c r="K7" t="s">
        <v>39</v>
      </c>
    </row>
    <row r="8" spans="1:18">
      <c r="I8" t="s">
        <v>25</v>
      </c>
      <c r="J8" s="15" t="s">
        <v>196</v>
      </c>
    </row>
    <row r="9" spans="1:18">
      <c r="I9" t="s">
        <v>26</v>
      </c>
      <c r="J9" s="15" t="s">
        <v>197</v>
      </c>
    </row>
    <row r="10" spans="1:18">
      <c r="I10" t="s">
        <v>27</v>
      </c>
      <c r="J10" s="15" t="s">
        <v>198</v>
      </c>
    </row>
    <row r="11" spans="1:18">
      <c r="J11" s="15" t="s">
        <v>199</v>
      </c>
    </row>
    <row r="12" spans="1:18">
      <c r="J12" s="15"/>
    </row>
  </sheetData>
  <customSheetViews>
    <customSheetView guid="{2AB498D9-D32A-4EB2-B4F2-37A196616A87}" state="hidden">
      <selection activeCell="I13" sqref="I13"/>
      <pageMargins left="0.7" right="0.7" top="0.75" bottom="0.75" header="0.3" footer="0.3"/>
    </customSheetView>
  </customSheetView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Q9"/>
  <sheetViews>
    <sheetView workbookViewId="0">
      <selection activeCell="L16" sqref="L16"/>
    </sheetView>
  </sheetViews>
  <sheetFormatPr baseColWidth="10" defaultColWidth="8.83203125" defaultRowHeight="14"/>
  <cols>
    <col min="1" max="1" width="25" customWidth="1"/>
    <col min="2" max="2" width="13.6640625" customWidth="1"/>
    <col min="4" max="4" width="16.5" customWidth="1"/>
    <col min="5" max="5" width="12.6640625" customWidth="1"/>
    <col min="6" max="6" width="15.83203125" customWidth="1"/>
    <col min="7" max="7" width="17" customWidth="1"/>
    <col min="8" max="8" width="17.5" customWidth="1"/>
    <col min="9" max="9" width="8.6640625" customWidth="1"/>
    <col min="10" max="10" width="14.6640625" customWidth="1"/>
    <col min="11" max="11" width="16.6640625" customWidth="1"/>
    <col min="12" max="12" width="21.6640625" customWidth="1"/>
    <col min="13" max="16" width="16.83203125" customWidth="1"/>
    <col min="17" max="17" width="15.5" customWidth="1"/>
  </cols>
  <sheetData>
    <row r="1" spans="1:17">
      <c r="B1" t="s">
        <v>145</v>
      </c>
      <c r="C1" t="s">
        <v>140</v>
      </c>
      <c r="D1" t="s">
        <v>142</v>
      </c>
      <c r="E1" t="s">
        <v>141</v>
      </c>
      <c r="F1" t="s">
        <v>177</v>
      </c>
      <c r="G1" t="s">
        <v>179</v>
      </c>
      <c r="H1" t="s">
        <v>178</v>
      </c>
      <c r="I1" t="s">
        <v>205</v>
      </c>
      <c r="J1" t="s">
        <v>144</v>
      </c>
      <c r="K1" t="s">
        <v>150</v>
      </c>
      <c r="L1" t="s">
        <v>151</v>
      </c>
      <c r="M1" t="s">
        <v>152</v>
      </c>
      <c r="N1" t="s">
        <v>156</v>
      </c>
      <c r="O1" t="s">
        <v>157</v>
      </c>
      <c r="P1" t="s">
        <v>158</v>
      </c>
      <c r="Q1" t="s">
        <v>155</v>
      </c>
    </row>
    <row r="2" spans="1:17">
      <c r="A2" s="116" t="s">
        <v>0</v>
      </c>
      <c r="B2" s="116" t="b">
        <f>'2. Hazardous events and trends'!E7=Model_Lists!$A$4</f>
        <v>1</v>
      </c>
      <c r="C2" s="223">
        <f>'5. Overall resilience'!H9</f>
        <v>0.57538461538461538</v>
      </c>
      <c r="D2" t="str">
        <f>'5. Overall resilience'!I9</f>
        <v>Moderate Impact</v>
      </c>
      <c r="E2">
        <f>IFERROR(MATCH(D2,ratingOverall,0),0)</f>
        <v>2</v>
      </c>
      <c r="F2" t="str">
        <f>IF(D2=0,"-",D2)</f>
        <v>Moderate Impact</v>
      </c>
      <c r="G2" t="str">
        <f>'5. Overall resilience'!J9</f>
        <v>Medium Resilience</v>
      </c>
      <c r="H2" t="str">
        <f>IF(G2=0,"-",G2)</f>
        <v>Medium Resilience</v>
      </c>
      <c r="I2">
        <f>IF(F2="Low Impact",1,IF(F2="High Impact",3,2))</f>
        <v>2</v>
      </c>
      <c r="J2" t="str">
        <f>IF(ISBLANK('5. Overall resilience'!K9),"",'5. Overall resilience'!K9)</f>
        <v xml:space="preserve">The structural integrityof the ABR is resilient to floods, though inlet pipes may be disturbed if not buried. A risk for floods is inundation/increased flow into chambers reducing retention time and treatment effectiveness. It could also "blow" manholes and lead to pollution. </v>
      </c>
      <c r="K2">
        <f>COUNTIFS(Hazard_Calc!$K:$K,Model_Lists!$A$4,Hazard_Calc!O:O,TRUE,Hazard_Calc!C:C,1)</f>
        <v>1</v>
      </c>
      <c r="L2">
        <f>COUNTIFS(Hazard_Calc!$K:$K,Model_Lists!$A$4,Hazard_Calc!P:P,TRUE,Hazard_Calc!C:C,1)</f>
        <v>9</v>
      </c>
      <c r="M2">
        <f>COUNTIFS(Hazard_Calc!$K:$K,Model_Lists!$A$4,Hazard_Calc!Q:Q,TRUE,Hazard_Calc!C:C,1)</f>
        <v>3</v>
      </c>
      <c r="N2" s="27">
        <f>IFERROR(K2/SUM($K2:$M2),0)</f>
        <v>7.6923076923076927E-2</v>
      </c>
      <c r="O2" s="27">
        <f t="shared" ref="O2:P2" si="0">IFERROR(L2/SUM($K2:$M2),0)</f>
        <v>0.69230769230769229</v>
      </c>
      <c r="P2" s="27">
        <f t="shared" si="0"/>
        <v>0.23076923076923078</v>
      </c>
      <c r="Q2" t="str">
        <f>IF(ISBLANK('2. Hazardous events and trends'!F7),"",'2. Hazardous events and trends'!F7)</f>
        <v>Multiple flooding events per year due to fluvial flooding</v>
      </c>
    </row>
    <row r="3" spans="1:17" ht="28">
      <c r="A3" s="116" t="s">
        <v>21</v>
      </c>
      <c r="B3" s="116" t="b">
        <f>'2. Hazardous events and trends'!E8=Model_Lists!$A$4</f>
        <v>1</v>
      </c>
      <c r="C3" s="223">
        <f>'5. Overall resilience'!H10</f>
        <v>0.13250000000000001</v>
      </c>
      <c r="D3" t="str">
        <f>'5. Overall resilience'!I10</f>
        <v>Low Impact</v>
      </c>
      <c r="E3">
        <f t="shared" ref="E3:E9" si="1">IFERROR(MATCH(D3,ratingOverall,0),0)</f>
        <v>1</v>
      </c>
      <c r="F3" t="str">
        <f t="shared" ref="F3:F9" si="2">IF(D3=0,"-",D3)</f>
        <v>Low Impact</v>
      </c>
      <c r="G3" t="str">
        <f>'5. Overall resilience'!J10</f>
        <v>High Resilience</v>
      </c>
      <c r="H3" t="str">
        <f t="shared" ref="H3:H9" si="3">IF(G3=0,"-",G3)</f>
        <v>High Resilience</v>
      </c>
      <c r="I3">
        <f t="shared" ref="I3:I9" si="4">IF(F3="Low Impact",1,IF(F3="High Impact",3,2))</f>
        <v>1</v>
      </c>
      <c r="J3" t="str">
        <f>IF(ISBLANK('5. Overall resilience'!K10),"",'5. Overall resilience'!K10)</f>
        <v>The ABR is able to buffer changes in precipitation patterns, it is unlikely to create serious impacts.</v>
      </c>
      <c r="K3">
        <f>COUNTIFS(Hazard_Calc!$K:$K,Model_Lists!$A$4,Hazard_Calc!O:O,TRUE,Hazard_Calc!D:D,1)</f>
        <v>3</v>
      </c>
      <c r="L3">
        <f>COUNTIFS(Hazard_Calc!$K:$K,Model_Lists!$A$4,Hazard_Calc!P:P,TRUE,Hazard_Calc!D:D,1)</f>
        <v>1</v>
      </c>
      <c r="M3">
        <f>COUNTIFS(Hazard_Calc!$K:$K,Model_Lists!$A$4,Hazard_Calc!Q:Q,TRUE,Hazard_Calc!D:D,1)</f>
        <v>0</v>
      </c>
      <c r="N3" s="27">
        <f t="shared" ref="N3:N9" si="5">IFERROR(K3/SUM($K3:$M3),0)</f>
        <v>0.75</v>
      </c>
      <c r="O3" s="27">
        <f t="shared" ref="O3:O9" si="6">IFERROR(L3/SUM($K3:$M3),0)</f>
        <v>0.25</v>
      </c>
      <c r="P3" s="27">
        <f t="shared" ref="P3:P9" si="7">IFERROR(M3/SUM($K3:$M3),0)</f>
        <v>0</v>
      </c>
      <c r="Q3" t="str">
        <f>IF(ISBLANK('2. Hazardous events and trends'!F8),"",'2. Hazardous events and trends'!F8)</f>
        <v>Wet season and dry season with increasing variability due to climate change</v>
      </c>
    </row>
    <row r="4" spans="1:17">
      <c r="A4" s="116" t="s">
        <v>22</v>
      </c>
      <c r="B4" s="116" t="b">
        <f>'2. Hazardous events and trends'!E9=Model_Lists!$A$4</f>
        <v>1</v>
      </c>
      <c r="C4" s="223">
        <f>'5. Overall resilience'!H11</f>
        <v>0.53500000000000003</v>
      </c>
      <c r="D4" t="str">
        <f>'5. Overall resilience'!I11</f>
        <v>Moderate Impact</v>
      </c>
      <c r="E4">
        <f t="shared" si="1"/>
        <v>2</v>
      </c>
      <c r="F4" t="str">
        <f t="shared" si="2"/>
        <v>Moderate Impact</v>
      </c>
      <c r="G4" t="str">
        <f>'5. Overall resilience'!J11</f>
        <v>Low Resilience</v>
      </c>
      <c r="H4" t="str">
        <f t="shared" si="3"/>
        <v>Low Resilience</v>
      </c>
      <c r="I4">
        <f t="shared" si="4"/>
        <v>2</v>
      </c>
      <c r="J4" t="str">
        <f>IF(ISBLANK('5. Overall resilience'!K11),"",'5. Overall resilience'!K11)</f>
        <v>Inlet pipes may be disturbed if not buried. Inundation/increased flow into chambers reducing retention time and treatment effectiveness. It could also "blow" manholes and lead to faecal pollution of the environment. Salt water may impact the biota temporarily in the ABR.</v>
      </c>
      <c r="K4">
        <f>COUNTIFS(Hazard_Calc!$K:$K,Model_Lists!$A$4,Hazard_Calc!O:O,TRUE,Hazard_Calc!E:E,1)</f>
        <v>2</v>
      </c>
      <c r="L4">
        <f>COUNTIFS(Hazard_Calc!$K:$K,Model_Lists!$A$4,Hazard_Calc!P:P,TRUE,Hazard_Calc!E:E,1)</f>
        <v>9</v>
      </c>
      <c r="M4">
        <f>COUNTIFS(Hazard_Calc!$K:$K,Model_Lists!$A$4,Hazard_Calc!Q:Q,TRUE,Hazard_Calc!E:E,1)</f>
        <v>3</v>
      </c>
      <c r="N4" s="27">
        <f t="shared" si="5"/>
        <v>0.14285714285714285</v>
      </c>
      <c r="O4" s="27">
        <f t="shared" si="6"/>
        <v>0.6428571428571429</v>
      </c>
      <c r="P4" s="27">
        <f t="shared" si="7"/>
        <v>0.21428571428571427</v>
      </c>
      <c r="Q4" t="str">
        <f>IF(ISBLANK('2. Hazardous events and trends'!F9),"",'2. Hazardous events and trends'!F9)</f>
        <v>Not coastal, but rivers are hydrologically connected to the tide, so groundwater and river levels go up with sea level rise. Rivers are brackish.</v>
      </c>
    </row>
    <row r="5" spans="1:17">
      <c r="A5" s="117" t="s">
        <v>23</v>
      </c>
      <c r="B5" s="116" t="b">
        <f>'2. Hazardous events and trends'!E10=Model_Lists!$A$4</f>
        <v>1</v>
      </c>
      <c r="C5" s="223">
        <f>'5. Overall resilience'!H12</f>
        <v>0.49999999999999994</v>
      </c>
      <c r="D5" t="str">
        <f>'5. Overall resilience'!I12</f>
        <v>Moderate Impact</v>
      </c>
      <c r="E5">
        <f t="shared" si="1"/>
        <v>2</v>
      </c>
      <c r="F5" t="str">
        <f t="shared" si="2"/>
        <v>Moderate Impact</v>
      </c>
      <c r="G5" t="str">
        <f>'5. Overall resilience'!J12</f>
        <v>High Resilience</v>
      </c>
      <c r="H5" t="str">
        <f t="shared" si="3"/>
        <v>High Resilience</v>
      </c>
      <c r="I5">
        <f t="shared" si="4"/>
        <v>2</v>
      </c>
      <c r="J5" t="str">
        <f>IF(ISBLANK('5. Overall resilience'!K12),"",'5. Overall resilience'!K12)</f>
        <v>Fires are likely to have a low impact on the main ABR structure as it is concrete and buried. However, fires may impact any exposed inlet pipes, though if they are exposed they would also be easy/fast to repair.</v>
      </c>
      <c r="K5">
        <f>COUNTIFS(Hazard_Calc!$K:$K,Model_Lists!$A$4,Hazard_Calc!O:O,TRUE,Hazard_Calc!F:F,1)</f>
        <v>2</v>
      </c>
      <c r="L5">
        <f>COUNTIFS(Hazard_Calc!$K:$K,Model_Lists!$A$4,Hazard_Calc!P:P,TRUE,Hazard_Calc!F:F,1)</f>
        <v>2</v>
      </c>
      <c r="M5">
        <f>COUNTIFS(Hazard_Calc!$K:$K,Model_Lists!$A$4,Hazard_Calc!Q:Q,TRUE,Hazard_Calc!F:F,1)</f>
        <v>2</v>
      </c>
      <c r="N5" s="27">
        <f t="shared" si="5"/>
        <v>0.33333333333333331</v>
      </c>
      <c r="O5" s="27">
        <f t="shared" si="6"/>
        <v>0.33333333333333331</v>
      </c>
      <c r="P5" s="27">
        <f t="shared" si="7"/>
        <v>0.33333333333333331</v>
      </c>
      <c r="Q5" t="str">
        <f>IF(ISBLANK('2. Hazardous events and trends'!F10),"",'2. Hazardous events and trends'!F10)</f>
        <v>Fire risk is mostly driven by human activities, particularly in informal settlements</v>
      </c>
    </row>
    <row r="6" spans="1:17">
      <c r="A6" s="116" t="s">
        <v>24</v>
      </c>
      <c r="B6" s="116" t="b">
        <f>'2. Hazardous events and trends'!E11=Model_Lists!$A$4</f>
        <v>1</v>
      </c>
      <c r="C6" s="223">
        <f>'5. Overall resilience'!H13</f>
        <v>0.3775</v>
      </c>
      <c r="D6" t="str">
        <f>'5. Overall resilience'!I13</f>
        <v>Moderate Impact</v>
      </c>
      <c r="E6">
        <f t="shared" si="1"/>
        <v>2</v>
      </c>
      <c r="F6" t="str">
        <f t="shared" si="2"/>
        <v>Moderate Impact</v>
      </c>
      <c r="G6" t="str">
        <f>'5. Overall resilience'!J13</f>
        <v>High Resilience</v>
      </c>
      <c r="H6" t="str">
        <f t="shared" si="3"/>
        <v>High Resilience</v>
      </c>
      <c r="I6">
        <f t="shared" si="4"/>
        <v>2</v>
      </c>
      <c r="J6" t="str">
        <f>IF(ISBLANK('5. Overall resilience'!K13),"",'5. Overall resilience'!K13)</f>
        <v>Winds are considered low risk for the ABR. The main risk from winds is additional debris that may enter the system though this is unlikely as entry points for debris are inside dwellings and into the toilet.</v>
      </c>
      <c r="K6">
        <f>COUNTIFS(Hazard_Calc!$K:$K,Model_Lists!$A$4,Hazard_Calc!O:O,TRUE,Hazard_Calc!G:G,1)</f>
        <v>4</v>
      </c>
      <c r="L6">
        <f>COUNTIFS(Hazard_Calc!$K:$K,Model_Lists!$A$4,Hazard_Calc!P:P,TRUE,Hazard_Calc!G:G,1)</f>
        <v>2</v>
      </c>
      <c r="M6">
        <f>COUNTIFS(Hazard_Calc!$K:$K,Model_Lists!$A$4,Hazard_Calc!Q:Q,TRUE,Hazard_Calc!G:G,1)</f>
        <v>2</v>
      </c>
      <c r="N6" s="27">
        <f t="shared" si="5"/>
        <v>0.5</v>
      </c>
      <c r="O6" s="27">
        <f t="shared" si="6"/>
        <v>0.25</v>
      </c>
      <c r="P6" s="27">
        <f t="shared" si="7"/>
        <v>0.25</v>
      </c>
      <c r="Q6" t="str">
        <f>IF(ISBLANK('2. Hazardous events and trends'!F11),"",'2. Hazardous events and trends'!F11)</f>
        <v>Strong storms are a risk, but cyclones are not a high risk</v>
      </c>
    </row>
    <row r="7" spans="1:17">
      <c r="A7" s="116" t="s">
        <v>25</v>
      </c>
      <c r="B7" s="116" t="b">
        <f>'2. Hazardous events and trends'!E12=Model_Lists!$A$4</f>
        <v>1</v>
      </c>
      <c r="C7" s="223">
        <f>'5. Overall resilience'!H14</f>
        <v>0.42999999999999994</v>
      </c>
      <c r="D7" t="str">
        <f>'5. Overall resilience'!I14</f>
        <v>Moderate Impact</v>
      </c>
      <c r="E7">
        <f t="shared" si="1"/>
        <v>2</v>
      </c>
      <c r="F7" t="str">
        <f t="shared" si="2"/>
        <v>Moderate Impact</v>
      </c>
      <c r="G7" t="str">
        <f>'5. Overall resilience'!J14</f>
        <v>Medium Resilience</v>
      </c>
      <c r="H7" t="str">
        <f t="shared" si="3"/>
        <v>Medium Resilience</v>
      </c>
      <c r="I7">
        <f t="shared" si="4"/>
        <v>2</v>
      </c>
      <c r="J7" t="str">
        <f>IF(ISBLANK('5. Overall resilience'!K14),"",'5. Overall resilience'!K14)</f>
        <v>Droughts may reduce the water available for flushing needed to move faecal/sewage into the ABR. Droughts would likely not impact the treatment efficacy as it would lead to increased residence time in the treatment train. Doughts would also reduce the dilution at any discharge points/waters</v>
      </c>
      <c r="K7">
        <f>COUNTIFS(Hazard_Calc!$K:$K,Model_Lists!$A$4,Hazard_Calc!O:O,TRUE,Hazard_Calc!H:H,1)</f>
        <v>2</v>
      </c>
      <c r="L7">
        <f>COUNTIFS(Hazard_Calc!$K:$K,Model_Lists!$A$4,Hazard_Calc!P:P,TRUE,Hazard_Calc!H:H,1)</f>
        <v>4</v>
      </c>
      <c r="M7">
        <f>COUNTIFS(Hazard_Calc!$K:$K,Model_Lists!$A$4,Hazard_Calc!Q:Q,TRUE,Hazard_Calc!H:H,1)</f>
        <v>1</v>
      </c>
      <c r="N7" s="27">
        <f t="shared" si="5"/>
        <v>0.2857142857142857</v>
      </c>
      <c r="O7" s="27">
        <f t="shared" si="6"/>
        <v>0.5714285714285714</v>
      </c>
      <c r="P7" s="27">
        <f t="shared" si="7"/>
        <v>0.14285714285714285</v>
      </c>
      <c r="Q7" t="str">
        <f>IF(ISBLANK('2. Hazardous events and trends'!F12),"",'2. Hazardous events and trends'!F12)</f>
        <v>Droughts are relatively lower risk compared to floods, but water shortages can occur</v>
      </c>
    </row>
    <row r="8" spans="1:17">
      <c r="A8" s="117" t="s">
        <v>26</v>
      </c>
      <c r="B8" s="116" t="b">
        <f>'2. Hazardous events and trends'!E13=Model_Lists!$A$4</f>
        <v>1</v>
      </c>
      <c r="C8" s="223">
        <f>'5. Overall resilience'!H15</f>
        <v>0.01</v>
      </c>
      <c r="D8" t="str">
        <f>'5. Overall resilience'!I15</f>
        <v>Low Impact</v>
      </c>
      <c r="E8">
        <f t="shared" si="1"/>
        <v>1</v>
      </c>
      <c r="F8" t="str">
        <f t="shared" si="2"/>
        <v>Low Impact</v>
      </c>
      <c r="G8" t="str">
        <f>'5. Overall resilience'!J15</f>
        <v>High Resilience</v>
      </c>
      <c r="H8" t="str">
        <f t="shared" si="3"/>
        <v>High Resilience</v>
      </c>
      <c r="I8">
        <f t="shared" si="4"/>
        <v>1</v>
      </c>
      <c r="J8" t="str">
        <f>IF(ISBLANK('5. Overall resilience'!K15),"",'5. Overall resilience'!K15)</f>
        <v>Changes in air temperature are unlikely to have any impacts on the ABR. They may cause some fluctuations in the treatment processes, these would be expected to be minor in this location</v>
      </c>
      <c r="K8">
        <f>COUNTIFS(Hazard_Calc!$K:$K,Model_Lists!$A$4,Hazard_Calc!O:O,TRUE,Hazard_Calc!I:I,1)</f>
        <v>2</v>
      </c>
      <c r="L8">
        <f>COUNTIFS(Hazard_Calc!$K:$K,Model_Lists!$A$4,Hazard_Calc!P:P,TRUE,Hazard_Calc!I:I,1)</f>
        <v>0</v>
      </c>
      <c r="M8">
        <f>COUNTIFS(Hazard_Calc!$K:$K,Model_Lists!$A$4,Hazard_Calc!Q:Q,TRUE,Hazard_Calc!I:I,1)</f>
        <v>0</v>
      </c>
      <c r="N8" s="27">
        <f t="shared" si="5"/>
        <v>1</v>
      </c>
      <c r="O8" s="27">
        <f t="shared" si="6"/>
        <v>0</v>
      </c>
      <c r="P8" s="27">
        <f t="shared" si="7"/>
        <v>0</v>
      </c>
      <c r="Q8" t="str">
        <f>IF(ISBLANK('2. Hazardous events and trends'!F13),"",'2. Hazardous events and trends'!F13)</f>
        <v>Not a lot of temperature variability as temperature stay around 20 - 30 degrees annually</v>
      </c>
    </row>
    <row r="9" spans="1:17">
      <c r="A9" s="116" t="s">
        <v>27</v>
      </c>
      <c r="B9" s="116" t="b">
        <f>'2. Hazardous events and trends'!E14=Model_Lists!$A$4</f>
        <v>1</v>
      </c>
      <c r="C9" s="223">
        <f>'5. Overall resilience'!H16</f>
        <v>0.01</v>
      </c>
      <c r="D9" t="str">
        <f>'5. Overall resilience'!I16</f>
        <v>Low Impact</v>
      </c>
      <c r="E9">
        <f t="shared" si="1"/>
        <v>1</v>
      </c>
      <c r="F9" t="str">
        <f t="shared" si="2"/>
        <v>Low Impact</v>
      </c>
      <c r="G9" t="str">
        <f>'5. Overall resilience'!J16</f>
        <v>High Resilience</v>
      </c>
      <c r="H9" t="str">
        <f t="shared" si="3"/>
        <v>High Resilience</v>
      </c>
      <c r="I9">
        <f t="shared" si="4"/>
        <v>1</v>
      </c>
      <c r="J9" t="str">
        <f>IF(ISBLANK('5. Overall resilience'!K16),"",'5. Overall resilience'!K16)</f>
        <v>Extreme heat is unlikely to have any impacts on the ABR. Events may cause some fluctuations in the treatment processes, these would be expected to be minor.</v>
      </c>
      <c r="K9">
        <f>COUNTIFS(Hazard_Calc!$K:$K,Model_Lists!$A$4,Hazard_Calc!O:O,TRUE,Hazard_Calc!J:J,1)</f>
        <v>2</v>
      </c>
      <c r="L9">
        <f>COUNTIFS(Hazard_Calc!$K:$K,Model_Lists!$A$4,Hazard_Calc!P:P,TRUE,Hazard_Calc!J:J,1)</f>
        <v>0</v>
      </c>
      <c r="M9">
        <f>COUNTIFS(Hazard_Calc!$K:$K,Model_Lists!$A$4,Hazard_Calc!Q:Q,TRUE,Hazard_Calc!J:J,1)</f>
        <v>0</v>
      </c>
      <c r="N9" s="27">
        <f t="shared" si="5"/>
        <v>1</v>
      </c>
      <c r="O9" s="27">
        <f t="shared" si="6"/>
        <v>0</v>
      </c>
      <c r="P9" s="27">
        <f t="shared" si="7"/>
        <v>0</v>
      </c>
      <c r="Q9" t="str">
        <f>IF(ISBLANK('2. Hazardous events and trends'!F14),"",'2. Hazardous events and trends'!F14)</f>
        <v>Exposed to extreme heat waves and high humidity annually</v>
      </c>
    </row>
  </sheetData>
  <conditionalFormatting sqref="A2:B9">
    <cfRule type="expression" dxfId="1" priority="3">
      <formula>AND($A2="No",NOT(ISBLANK($A2)))</formula>
    </cfRule>
  </conditionalFormatting>
  <conditionalFormatting sqref="I2:I9">
    <cfRule type="iconSet" priority="2794">
      <iconSet showValue="0" reverse="1">
        <cfvo type="percent" val="0"/>
        <cfvo type="percent" val="33"/>
        <cfvo type="percent" val="67"/>
      </iconSet>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Y41"/>
  <sheetViews>
    <sheetView zoomScaleNormal="100" workbookViewId="0">
      <selection activeCell="K2" sqref="K2"/>
    </sheetView>
  </sheetViews>
  <sheetFormatPr baseColWidth="10" defaultColWidth="8.83203125" defaultRowHeight="14"/>
  <cols>
    <col min="1" max="1" width="3.6640625" customWidth="1"/>
    <col min="2" max="2" width="48.5" customWidth="1"/>
    <col min="3" max="15" width="15.6640625" customWidth="1"/>
    <col min="17" max="17" width="24.83203125" customWidth="1"/>
  </cols>
  <sheetData>
    <row r="1" spans="2:25">
      <c r="C1" s="157" t="s">
        <v>194</v>
      </c>
      <c r="D1" s="157" t="s">
        <v>200</v>
      </c>
      <c r="E1" s="157" t="s">
        <v>221</v>
      </c>
      <c r="F1" s="157" t="s">
        <v>195</v>
      </c>
      <c r="G1" s="157" t="s">
        <v>220</v>
      </c>
      <c r="H1" s="157" t="s">
        <v>197</v>
      </c>
      <c r="I1" s="157" t="s">
        <v>198</v>
      </c>
      <c r="J1" s="157" t="s">
        <v>214</v>
      </c>
      <c r="K1" s="157"/>
      <c r="L1" s="157"/>
      <c r="M1" s="157"/>
      <c r="N1" s="157"/>
      <c r="O1" s="157"/>
    </row>
    <row r="2" spans="2:25" ht="25">
      <c r="C2" s="352" t="s">
        <v>182</v>
      </c>
      <c r="D2" s="352" t="s">
        <v>189</v>
      </c>
      <c r="E2" s="352" t="s">
        <v>216</v>
      </c>
      <c r="F2" s="352" t="s">
        <v>190</v>
      </c>
      <c r="G2" s="352" t="s">
        <v>215</v>
      </c>
      <c r="H2" s="352" t="s">
        <v>191</v>
      </c>
      <c r="I2" s="352" t="s">
        <v>192</v>
      </c>
      <c r="J2" s="352" t="s">
        <v>213</v>
      </c>
      <c r="K2" s="156"/>
      <c r="L2" s="156"/>
      <c r="M2" s="156"/>
      <c r="N2" s="156"/>
      <c r="O2" s="156"/>
    </row>
    <row r="3" spans="2:25" ht="45">
      <c r="C3" s="3" t="s">
        <v>0</v>
      </c>
      <c r="D3" s="3" t="s">
        <v>21</v>
      </c>
      <c r="E3" s="3" t="s">
        <v>22</v>
      </c>
      <c r="F3" s="3" t="s">
        <v>23</v>
      </c>
      <c r="G3" s="3" t="s">
        <v>24</v>
      </c>
      <c r="H3" s="3" t="s">
        <v>25</v>
      </c>
      <c r="I3" s="3" t="s">
        <v>26</v>
      </c>
      <c r="J3" s="3" t="s">
        <v>27</v>
      </c>
      <c r="K3" s="3"/>
      <c r="L3" s="3"/>
      <c r="M3" s="3"/>
      <c r="N3" s="3"/>
      <c r="O3" s="3"/>
    </row>
    <row r="4" spans="2:25" ht="30">
      <c r="B4" t="s">
        <v>47</v>
      </c>
      <c r="C4" s="3" t="str" cm="1">
        <f t="array" ref="C4:J4">TRANSPOSE('2. Hazardous events and trends'!E7:E14)</f>
        <v>✅ Yes</v>
      </c>
      <c r="D4" s="3" t="str">
        <v>✅ Yes</v>
      </c>
      <c r="E4" s="3" t="str">
        <v>✅ Yes</v>
      </c>
      <c r="F4" s="3" t="str">
        <v>✅ Yes</v>
      </c>
      <c r="G4" s="3" t="str">
        <v>✅ Yes</v>
      </c>
      <c r="H4" s="3" t="str">
        <v>✅ Yes</v>
      </c>
      <c r="I4" s="3" t="str">
        <v>✅ Yes</v>
      </c>
      <c r="J4" s="3" t="str">
        <v>✅ Yes</v>
      </c>
      <c r="K4" s="3" t="s">
        <v>280</v>
      </c>
      <c r="L4" s="3" t="s">
        <v>46</v>
      </c>
      <c r="M4" s="3" t="s">
        <v>281</v>
      </c>
      <c r="N4" s="3" t="s">
        <v>283</v>
      </c>
      <c r="O4" s="3" t="s">
        <v>282</v>
      </c>
      <c r="P4" t="s">
        <v>256</v>
      </c>
      <c r="Q4" s="3" t="s">
        <v>149</v>
      </c>
      <c r="R4" s="157" t="s">
        <v>194</v>
      </c>
      <c r="S4" s="157" t="s">
        <v>200</v>
      </c>
      <c r="T4" s="157" t="s">
        <v>221</v>
      </c>
      <c r="U4" s="157" t="s">
        <v>195</v>
      </c>
      <c r="V4" s="157" t="s">
        <v>220</v>
      </c>
      <c r="W4" s="157" t="s">
        <v>197</v>
      </c>
      <c r="X4" s="157" t="s">
        <v>198</v>
      </c>
      <c r="Y4" s="157" t="s">
        <v>214</v>
      </c>
    </row>
    <row r="5" spans="2:25">
      <c r="B5" s="1" t="s">
        <v>134</v>
      </c>
      <c r="C5" s="1" t="s">
        <v>20</v>
      </c>
      <c r="D5" s="1" t="s">
        <v>20</v>
      </c>
      <c r="E5" s="1" t="s">
        <v>20</v>
      </c>
      <c r="F5" s="1" t="s">
        <v>20</v>
      </c>
      <c r="G5" s="1" t="s">
        <v>20</v>
      </c>
      <c r="H5" s="1" t="s">
        <v>20</v>
      </c>
      <c r="I5" s="1" t="s">
        <v>20</v>
      </c>
      <c r="J5" s="1" t="s">
        <v>20</v>
      </c>
      <c r="K5" s="1"/>
      <c r="L5" s="1"/>
      <c r="M5" s="1"/>
      <c r="N5" s="1"/>
      <c r="O5" s="1"/>
    </row>
    <row r="6" spans="2:25">
      <c r="B6" t="s">
        <v>10</v>
      </c>
      <c r="C6" s="2" t="s">
        <v>5</v>
      </c>
      <c r="D6" s="2" t="s">
        <v>5</v>
      </c>
      <c r="E6" s="2" t="s">
        <v>5</v>
      </c>
      <c r="F6" s="2" t="s">
        <v>4</v>
      </c>
      <c r="G6" s="2" t="s">
        <v>4</v>
      </c>
      <c r="H6" s="2" t="s">
        <v>4</v>
      </c>
      <c r="I6" s="2" t="s">
        <v>4</v>
      </c>
      <c r="J6" s="2" t="s">
        <v>4</v>
      </c>
      <c r="K6" s="2" t="b">
        <f>'4. Design features'!F20=INDEX(RatingOptionSelect,2)</f>
        <v>0</v>
      </c>
      <c r="L6" s="2" t="str">
        <f>IF('4. Design features'!G20=0,"",'4. Design features'!G20)</f>
        <v/>
      </c>
      <c r="M6" s="2" t="b">
        <f>ISBLANK('4. Design features'!I20)=FALSE</f>
        <v>0</v>
      </c>
      <c r="N6" s="2" t="str">
        <f>IF('4. Design features'!H20=0,"",'4. Design features'!H20)</f>
        <v xml:space="preserve">These systems are typically at the low point of an area to allow gravity flow. Raising the roof or manhole lids may be possible but would add challenges to maintenance and the value is questionable. </v>
      </c>
      <c r="O6" s="2" t="str">
        <f>IF('4. Design features'!I20=0,"",'4. Design features'!I20)</f>
        <v/>
      </c>
      <c r="P6" t="s">
        <v>252</v>
      </c>
      <c r="Q6" t="str">
        <f>_xlfn.CONCAT(R6:Y6)</f>
        <v>💦 🌧 🌊</v>
      </c>
      <c r="R6" t="str">
        <f>IF(AND(C6="Yes",C$4=Model_Lists!$A$4),C$2,"")</f>
        <v xml:space="preserve">💦 </v>
      </c>
      <c r="S6" t="str">
        <f>IF(AND(D6="Yes",D$4=Model_Lists!$A$4),D$2,"")</f>
        <v xml:space="preserve">🌧 </v>
      </c>
      <c r="T6" t="str">
        <f>IF(AND(E6="Yes",E$4=Model_Lists!$A$4),E$2,"")</f>
        <v>🌊</v>
      </c>
      <c r="U6" t="str">
        <f>IF(AND(F6="Yes",F$4=Model_Lists!$A$4),F$2,"")</f>
        <v/>
      </c>
      <c r="V6" t="str">
        <f>IF(AND(G6="Yes",G$4=Model_Lists!$A$4),G$2,"")</f>
        <v/>
      </c>
      <c r="W6" t="str">
        <f>IF(AND(H6="Yes",H$4=Model_Lists!$A$4),H$2,"")</f>
        <v/>
      </c>
      <c r="X6" t="str">
        <f>IF(AND(I6="Yes",I$4=Model_Lists!$A$4),I$2,"")</f>
        <v/>
      </c>
      <c r="Y6" t="str">
        <f>IF(AND(J6="Yes",J$4=Model_Lists!$A$4),J$2,"")</f>
        <v/>
      </c>
    </row>
    <row r="7" spans="2:25">
      <c r="B7" t="s">
        <v>148</v>
      </c>
      <c r="C7" s="2" t="s">
        <v>5</v>
      </c>
      <c r="D7" s="2" t="s">
        <v>4</v>
      </c>
      <c r="E7" s="2" t="s">
        <v>5</v>
      </c>
      <c r="F7" s="2" t="s">
        <v>5</v>
      </c>
      <c r="G7" s="2" t="s">
        <v>5</v>
      </c>
      <c r="H7" s="2" t="s">
        <v>4</v>
      </c>
      <c r="I7" s="2" t="s">
        <v>4</v>
      </c>
      <c r="J7" s="2" t="s">
        <v>4</v>
      </c>
      <c r="K7" s="2" t="b">
        <f>'4. Design features'!F21=INDEX(RatingOptionSelect,2)</f>
        <v>1</v>
      </c>
      <c r="L7" s="2" t="str">
        <f>IF('4. Design features'!G21=0,"",'4. Design features'!G21)</f>
        <v xml:space="preserve">The ABR and pipes are buried underground ~ 2 metres. This protects it from force of flood waters, wave/tidal forces, wind and exposure to fire. </v>
      </c>
      <c r="M7" s="2" t="b">
        <f>ISBLANK('4. Design features'!I21)=FALSE</f>
        <v>0</v>
      </c>
      <c r="N7" s="2" t="str">
        <f>IF('4. Design features'!H21=0,"",'4. Design features'!H21)</f>
        <v/>
      </c>
      <c r="O7" s="2" t="str">
        <f>IF('4. Design features'!I21=0,"",'4. Design features'!I21)</f>
        <v/>
      </c>
      <c r="P7" t="s">
        <v>253</v>
      </c>
      <c r="Q7" t="str">
        <f t="shared" ref="Q7:Q32" si="0">_xlfn.CONCAT(R7:Y7)</f>
        <v>💦 🌊🔥💨</v>
      </c>
      <c r="R7" t="str">
        <f>IF(AND(C7="Yes",C$4=Model_Lists!$A$4),C$2,"")</f>
        <v xml:space="preserve">💦 </v>
      </c>
      <c r="S7" t="str">
        <f>IF(AND(D7="Yes",D$4=Model_Lists!$A$4),D$2,"")</f>
        <v/>
      </c>
      <c r="T7" t="str">
        <f>IF(AND(E7="Yes",E$4=Model_Lists!$A$4),E$2,"")</f>
        <v>🌊</v>
      </c>
      <c r="U7" t="str">
        <f>IF(AND(F7="Yes",F$4=Model_Lists!$A$4),F$2,"")</f>
        <v>🔥</v>
      </c>
      <c r="V7" t="str">
        <f>IF(AND(G7="Yes",G$4=Model_Lists!$A$4),G$2,"")</f>
        <v>💨</v>
      </c>
      <c r="W7" t="str">
        <f>IF(AND(H7="Yes",H$4=Model_Lists!$A$4),H$2,"")</f>
        <v/>
      </c>
      <c r="X7" t="str">
        <f>IF(AND(I7="Yes",I$4=Model_Lists!$A$4),I$2,"")</f>
        <v/>
      </c>
      <c r="Y7" t="str">
        <f>IF(AND(J7="Yes",J$4=Model_Lists!$A$4),J$2,"")</f>
        <v/>
      </c>
    </row>
    <row r="8" spans="2:25">
      <c r="B8" t="s">
        <v>28</v>
      </c>
      <c r="C8" s="2" t="s">
        <v>5</v>
      </c>
      <c r="D8" s="2" t="s">
        <v>5</v>
      </c>
      <c r="E8" s="2" t="s">
        <v>5</v>
      </c>
      <c r="F8" s="2" t="s">
        <v>5</v>
      </c>
      <c r="G8" s="2" t="s">
        <v>5</v>
      </c>
      <c r="H8" s="2" t="s">
        <v>5</v>
      </c>
      <c r="I8" s="2" t="s">
        <v>4</v>
      </c>
      <c r="J8" s="2" t="s">
        <v>4</v>
      </c>
      <c r="K8" s="2" t="b">
        <f>'4. Design features'!F22=INDEX(RatingOptionSelect,2)</f>
        <v>0</v>
      </c>
      <c r="L8" s="2" t="str">
        <f>IF('4. Design features'!G22=0,"",'4. Design features'!G22)</f>
        <v/>
      </c>
      <c r="M8" s="2" t="b">
        <f>ISBLANK('4. Design features'!I22)=FALSE</f>
        <v>0</v>
      </c>
      <c r="N8" s="2" t="str">
        <f>IF('4. Design features'!H22=0,"",'4. Design features'!H22)</f>
        <v>If incoming hazards are likely to damage or disrupt the ABR, there is no practical way to move it out of harm's way</v>
      </c>
      <c r="O8" s="2" t="str">
        <f>IF('4. Design features'!I22=0,"",'4. Design features'!I22)</f>
        <v/>
      </c>
      <c r="P8" t="s">
        <v>254</v>
      </c>
      <c r="Q8" t="str">
        <f t="shared" si="0"/>
        <v xml:space="preserve">💦 🌧 🌊🔥💨🌵 </v>
      </c>
      <c r="R8" t="str">
        <f>IF(AND(C8="Yes",C$4=Model_Lists!$A$4),C$2,"")</f>
        <v xml:space="preserve">💦 </v>
      </c>
      <c r="S8" t="str">
        <f>IF(AND(D8="Yes",D$4=Model_Lists!$A$4),D$2,"")</f>
        <v xml:space="preserve">🌧 </v>
      </c>
      <c r="T8" t="str">
        <f>IF(AND(E8="Yes",E$4=Model_Lists!$A$4),E$2,"")</f>
        <v>🌊</v>
      </c>
      <c r="U8" t="str">
        <f>IF(AND(F8="Yes",F$4=Model_Lists!$A$4),F$2,"")</f>
        <v>🔥</v>
      </c>
      <c r="V8" t="str">
        <f>IF(AND(G8="Yes",G$4=Model_Lists!$A$4),G$2,"")</f>
        <v>💨</v>
      </c>
      <c r="W8" t="str">
        <f>IF(AND(H8="Yes",H$4=Model_Lists!$A$4),H$2,"")</f>
        <v xml:space="preserve">🌵 </v>
      </c>
      <c r="X8" t="str">
        <f>IF(AND(I8="Yes",I$4=Model_Lists!$A$4),I$2,"")</f>
        <v/>
      </c>
      <c r="Y8" t="str">
        <f>IF(AND(J8="Yes",J$4=Model_Lists!$A$4),J$2,"")</f>
        <v/>
      </c>
    </row>
    <row r="9" spans="2:25">
      <c r="B9" t="s">
        <v>11</v>
      </c>
      <c r="C9" s="2" t="s">
        <v>5</v>
      </c>
      <c r="D9" s="2" t="s">
        <v>5</v>
      </c>
      <c r="E9" s="2" t="s">
        <v>5</v>
      </c>
      <c r="F9" s="2" t="s">
        <v>5</v>
      </c>
      <c r="G9" s="2" t="s">
        <v>5</v>
      </c>
      <c r="H9" s="2" t="s">
        <v>5</v>
      </c>
      <c r="I9" s="2" t="s">
        <v>5</v>
      </c>
      <c r="J9" s="2" t="s">
        <v>5</v>
      </c>
      <c r="K9" s="2" t="b">
        <f>'4. Design features'!F23=INDEX(RatingOptionSelect,2)</f>
        <v>1</v>
      </c>
      <c r="L9" s="2" t="str">
        <f>IF('4. Design features'!G23=0,"",'4. Design features'!G23)</f>
        <v>No requirements for electricity
No requirements for water beyond the 'normal' inputs from toilets
Limited/irregular maintenance requirements (sludge pumping)</v>
      </c>
      <c r="M9" s="2" t="b">
        <f>ISBLANK('4. Design features'!I23)=FALSE</f>
        <v>0</v>
      </c>
      <c r="N9" s="2" t="str">
        <f>IF('4. Design features'!H23=0,"",'4. Design features'!H23)</f>
        <v/>
      </c>
      <c r="O9" s="2" t="str">
        <f>IF('4. Design features'!I23=0,"",'4. Design features'!I23)</f>
        <v/>
      </c>
      <c r="P9" t="s">
        <v>255</v>
      </c>
      <c r="Q9" t="str">
        <f t="shared" si="0"/>
        <v>💦 🌧 🌊🔥💨🌵 🌡☀️</v>
      </c>
      <c r="R9" t="str">
        <f>IF(AND(C9="Yes",C$4=Model_Lists!$A$4),C$2,"")</f>
        <v xml:space="preserve">💦 </v>
      </c>
      <c r="S9" t="str">
        <f>IF(AND(D9="Yes",D$4=Model_Lists!$A$4),D$2,"")</f>
        <v xml:space="preserve">🌧 </v>
      </c>
      <c r="T9" t="str">
        <f>IF(AND(E9="Yes",E$4=Model_Lists!$A$4),E$2,"")</f>
        <v>🌊</v>
      </c>
      <c r="U9" t="str">
        <f>IF(AND(F9="Yes",F$4=Model_Lists!$A$4),F$2,"")</f>
        <v>🔥</v>
      </c>
      <c r="V9" t="str">
        <f>IF(AND(G9="Yes",G$4=Model_Lists!$A$4),G$2,"")</f>
        <v>💨</v>
      </c>
      <c r="W9" t="str">
        <f>IF(AND(H9="Yes",H$4=Model_Lists!$A$4),H$2,"")</f>
        <v xml:space="preserve">🌵 </v>
      </c>
      <c r="X9" t="str">
        <f>IF(AND(I9="Yes",I$4=Model_Lists!$A$4),I$2,"")</f>
        <v>🌡</v>
      </c>
      <c r="Y9" t="str">
        <f>IF(AND(J9="Yes",J$4=Model_Lists!$A$4),J$2,"")</f>
        <v>☀️</v>
      </c>
    </row>
    <row r="10" spans="2:25">
      <c r="B10" s="1" t="s">
        <v>135</v>
      </c>
      <c r="C10" s="1"/>
      <c r="D10" s="1"/>
      <c r="E10" s="1"/>
      <c r="F10" s="1"/>
      <c r="G10" s="1"/>
      <c r="H10" s="1"/>
      <c r="I10" s="1"/>
      <c r="J10" s="1"/>
      <c r="K10" s="2" t="b">
        <f>'4. Design features'!F24=INDEX(RatingOptionSelect,2)</f>
        <v>0</v>
      </c>
      <c r="L10" s="2" t="str">
        <f>IF('4. Design features'!G24=0,"",'4. Design features'!G24)</f>
        <v/>
      </c>
      <c r="M10" s="2" t="b">
        <f>ISBLANK('4. Design features'!I24)=FALSE</f>
        <v>0</v>
      </c>
      <c r="N10" s="2" t="str">
        <f>IF('4. Design features'!H24=0,"",'4. Design features'!H24)</f>
        <v/>
      </c>
      <c r="O10" s="2" t="str">
        <f>IF('4. Design features'!I24=0,"",'4. Design features'!I24)</f>
        <v/>
      </c>
      <c r="Q10" t="str">
        <f t="shared" si="0"/>
        <v/>
      </c>
      <c r="R10" t="str">
        <f>IF(AND(C10="Yes",C$4=Model_Lists!$A$4),C$2,"")</f>
        <v/>
      </c>
      <c r="S10" t="str">
        <f>IF(AND(D10="Yes",D$4=Model_Lists!$A$4),D$2,"")</f>
        <v/>
      </c>
      <c r="T10" t="str">
        <f>IF(AND(E10="Yes",E$4=Model_Lists!$A$4),E$2,"")</f>
        <v/>
      </c>
      <c r="U10" t="str">
        <f>IF(AND(F10="Yes",F$4=Model_Lists!$A$4),F$2,"")</f>
        <v/>
      </c>
      <c r="V10" t="str">
        <f>IF(AND(G10="Yes",G$4=Model_Lists!$A$4),G$2,"")</f>
        <v/>
      </c>
      <c r="W10" t="str">
        <f>IF(AND(H10="Yes",H$4=Model_Lists!$A$4),H$2,"")</f>
        <v/>
      </c>
      <c r="X10" t="str">
        <f>IF(AND(I10="Yes",I$4=Model_Lists!$A$4),I$2,"")</f>
        <v/>
      </c>
      <c r="Y10" t="str">
        <f>IF(AND(J10="Yes",J$4=Model_Lists!$A$4),J$2,"")</f>
        <v/>
      </c>
    </row>
    <row r="11" spans="2:25">
      <c r="B11" t="s">
        <v>129</v>
      </c>
      <c r="C11" s="2" t="s">
        <v>5</v>
      </c>
      <c r="D11" s="2" t="s">
        <v>5</v>
      </c>
      <c r="E11" s="2" t="s">
        <v>5</v>
      </c>
      <c r="F11" s="2" t="s">
        <v>5</v>
      </c>
      <c r="G11" s="2" t="s">
        <v>5</v>
      </c>
      <c r="H11" s="2" t="s">
        <v>5</v>
      </c>
      <c r="I11" s="2" t="s">
        <v>5</v>
      </c>
      <c r="J11" s="2" t="s">
        <v>5</v>
      </c>
      <c r="K11" s="2" t="b">
        <f>'4. Design features'!F25=INDEX(RatingOptionSelect,2)</f>
        <v>1</v>
      </c>
      <c r="L11" s="2" t="str">
        <f>IF('4. Design features'!G25=0,"",'4. Design features'!G25)</f>
        <v xml:space="preserve">Concrete constrution, 20cm thick walls. The concrete will resist against forces from water, wind and fire. </v>
      </c>
      <c r="M11" s="2" t="b">
        <f>ISBLANK('4. Design features'!I25)=FALSE</f>
        <v>1</v>
      </c>
      <c r="N11" s="2" t="str">
        <f>IF('4. Design features'!H25=0,"",'4. Design features'!H25)</f>
        <v>It's possible it could crack under soil expanision and contraction, or through heavy traffic on the surface of the ABR. It's unknown what level of soil expanision/contraction would do this, however, ensuring it's installed in unreactive soils would help.
These systems are may be located at the edge of a waterway (i.e. river bank) or natural low point in an area (i.e. on coast). It is therefore prone to impact of floodwaters (possibly storm surge in other locations if located at the beach) and may require extra armoring in these contexts.</v>
      </c>
      <c r="O11" s="2" t="str">
        <f>IF('4. Design features'!I25=0,"",'4. Design features'!I25)</f>
        <v>The strength of the armouring and strengthening is also dependent on the quality of the concrete (e.g. rebar, water quality, concrete mix) and installation. As it's not pre-fabricated it's dependent on the skills/diligence of the installer. Pre-fabricated concrete modules could achieve armouring and reduce this risk, however, it comes with transport challenges (and also means local masons are not involved in construction).
As per 'weak point' comment, extra armoring may be relevant if located adjacent to a waterway or coastal area.</v>
      </c>
      <c r="P11" t="s">
        <v>257</v>
      </c>
      <c r="Q11" t="str">
        <f t="shared" si="0"/>
        <v>💦 🌧 🌊🔥💨🌵 🌡☀️</v>
      </c>
      <c r="R11" t="str">
        <f>IF(AND(C11="Yes",C$4=Model_Lists!$A$4),C$2,"")</f>
        <v xml:space="preserve">💦 </v>
      </c>
      <c r="S11" t="str">
        <f>IF(AND(D11="Yes",D$4=Model_Lists!$A$4),D$2,"")</f>
        <v xml:space="preserve">🌧 </v>
      </c>
      <c r="T11" t="str">
        <f>IF(AND(E11="Yes",E$4=Model_Lists!$A$4),E$2,"")</f>
        <v>🌊</v>
      </c>
      <c r="U11" t="str">
        <f>IF(AND(F11="Yes",F$4=Model_Lists!$A$4),F$2,"")</f>
        <v>🔥</v>
      </c>
      <c r="V11" t="str">
        <f>IF(AND(G11="Yes",G$4=Model_Lists!$A$4),G$2,"")</f>
        <v>💨</v>
      </c>
      <c r="W11" t="str">
        <f>IF(AND(H11="Yes",H$4=Model_Lists!$A$4),H$2,"")</f>
        <v xml:space="preserve">🌵 </v>
      </c>
      <c r="X11" t="str">
        <f>IF(AND(I11="Yes",I$4=Model_Lists!$A$4),I$2,"")</f>
        <v>🌡</v>
      </c>
      <c r="Y11" t="str">
        <f>IF(AND(J11="Yes",J$4=Model_Lists!$A$4),J$2,"")</f>
        <v>☀️</v>
      </c>
    </row>
    <row r="12" spans="2:25">
      <c r="B12" t="s">
        <v>6</v>
      </c>
      <c r="C12" s="2" t="s">
        <v>5</v>
      </c>
      <c r="D12" s="2" t="s">
        <v>5</v>
      </c>
      <c r="E12" s="2" t="s">
        <v>5</v>
      </c>
      <c r="F12" s="2" t="s">
        <v>4</v>
      </c>
      <c r="G12" s="2" t="s">
        <v>4</v>
      </c>
      <c r="H12" s="2" t="s">
        <v>5</v>
      </c>
      <c r="I12" s="2" t="s">
        <v>4</v>
      </c>
      <c r="J12" s="2" t="s">
        <v>4</v>
      </c>
      <c r="K12" s="2" t="b">
        <f>'4. Design features'!F26=INDEX(RatingOptionSelect,2)</f>
        <v>0</v>
      </c>
      <c r="L12" s="2" t="str">
        <f>IF('4. Design features'!G26=0,"",'4. Design features'!G26)</f>
        <v/>
      </c>
      <c r="M12" s="2" t="b">
        <f>ISBLANK('4. Design features'!I26)=FALSE</f>
        <v>1</v>
      </c>
      <c r="N12" s="2" t="str">
        <f>IF('4. Design features'!H26=0,"",'4. Design features'!H26)</f>
        <v>The ABR is designed for 20L/capita/day and has a peak design factor of 4. Once installed in a place it is difficult to expand. It has some capacity to cope with 'spikes' in usage. However, prolonged usage or a permanent increase in the number of users will mean it reaches it's capacity.</v>
      </c>
      <c r="O12" s="2" t="str">
        <f>IF('4. Design features'!I26=0,"",'4. Design features'!I26)</f>
        <v>Increasing the buffer capacity of the first chamber may be an option if there is adequate space. Allowing space for additional buffer chambers to be added to the end may be a consideration in the siting of the ABR</v>
      </c>
      <c r="P12" t="s">
        <v>258</v>
      </c>
      <c r="Q12" t="str">
        <f t="shared" si="0"/>
        <v xml:space="preserve">💦 🌧 🌊🌵 </v>
      </c>
      <c r="R12" t="str">
        <f>IF(AND(C12="Yes",C$4=Model_Lists!$A$4),C$2,"")</f>
        <v xml:space="preserve">💦 </v>
      </c>
      <c r="S12" t="str">
        <f>IF(AND(D12="Yes",D$4=Model_Lists!$A$4),D$2,"")</f>
        <v xml:space="preserve">🌧 </v>
      </c>
      <c r="T12" t="str">
        <f>IF(AND(E12="Yes",E$4=Model_Lists!$A$4),E$2,"")</f>
        <v>🌊</v>
      </c>
      <c r="U12" t="str">
        <f>IF(AND(F12="Yes",F$4=Model_Lists!$A$4),F$2,"")</f>
        <v/>
      </c>
      <c r="V12" t="str">
        <f>IF(AND(G12="Yes",G$4=Model_Lists!$A$4),G$2,"")</f>
        <v/>
      </c>
      <c r="W12" t="str">
        <f>IF(AND(H12="Yes",H$4=Model_Lists!$A$4),H$2,"")</f>
        <v xml:space="preserve">🌵 </v>
      </c>
      <c r="X12" t="str">
        <f>IF(AND(I12="Yes",I$4=Model_Lists!$A$4),I$2,"")</f>
        <v/>
      </c>
      <c r="Y12" t="str">
        <f>IF(AND(J12="Yes",J$4=Model_Lists!$A$4),J$2,"")</f>
        <v/>
      </c>
    </row>
    <row r="13" spans="2:25">
      <c r="B13" t="s">
        <v>7</v>
      </c>
      <c r="C13" s="2" t="s">
        <v>5</v>
      </c>
      <c r="D13" s="2" t="s">
        <v>5</v>
      </c>
      <c r="E13" s="2" t="s">
        <v>5</v>
      </c>
      <c r="F13" s="2" t="s">
        <v>4</v>
      </c>
      <c r="G13" s="2" t="s">
        <v>5</v>
      </c>
      <c r="H13" s="2" t="s">
        <v>5</v>
      </c>
      <c r="I13" s="2" t="s">
        <v>5</v>
      </c>
      <c r="J13" s="2" t="s">
        <v>4</v>
      </c>
      <c r="K13" s="2" t="b">
        <f>'4. Design features'!F27=INDEX(RatingOptionSelect,2)</f>
        <v>0</v>
      </c>
      <c r="L13" s="2" t="str">
        <f>IF('4. Design features'!G27=0,"",'4. Design features'!G27)</f>
        <v/>
      </c>
      <c r="M13" s="2" t="b">
        <f>ISBLANK('4. Design features'!I27)=FALSE</f>
        <v>1</v>
      </c>
      <c r="N13" s="2" t="str">
        <f>IF('4. Design features'!H27=0,"",'4. Design features'!H27)</f>
        <v>The square shape could be problematic with tidal/wave/flood forces on edges.</v>
      </c>
      <c r="O13" s="2" t="str">
        <f>IF('4. Design features'!I27=0,"",'4. Design features'!I27)</f>
        <v>For ABRs that are located on the edge of a waterway the shape could ensure there are no edges/protrusions in the waterway that could create increased pressuring during high river flows.</v>
      </c>
      <c r="P13" t="s">
        <v>259</v>
      </c>
      <c r="Q13" t="str">
        <f t="shared" si="0"/>
        <v>💦 🌧 🌊💨🌵 🌡</v>
      </c>
      <c r="R13" t="str">
        <f>IF(AND(C13="Yes",C$4=Model_Lists!$A$4),C$2,"")</f>
        <v xml:space="preserve">💦 </v>
      </c>
      <c r="S13" t="str">
        <f>IF(AND(D13="Yes",D$4=Model_Lists!$A$4),D$2,"")</f>
        <v xml:space="preserve">🌧 </v>
      </c>
      <c r="T13" t="str">
        <f>IF(AND(E13="Yes",E$4=Model_Lists!$A$4),E$2,"")</f>
        <v>🌊</v>
      </c>
      <c r="U13" t="str">
        <f>IF(AND(F13="Yes",F$4=Model_Lists!$A$4),F$2,"")</f>
        <v/>
      </c>
      <c r="V13" t="str">
        <f>IF(AND(G13="Yes",G$4=Model_Lists!$A$4),G$2,"")</f>
        <v>💨</v>
      </c>
      <c r="W13" t="str">
        <f>IF(AND(H13="Yes",H$4=Model_Lists!$A$4),H$2,"")</f>
        <v xml:space="preserve">🌵 </v>
      </c>
      <c r="X13" t="str">
        <f>IF(AND(I13="Yes",I$4=Model_Lists!$A$4),I$2,"")</f>
        <v>🌡</v>
      </c>
      <c r="Y13" t="str">
        <f>IF(AND(J13="Yes",J$4=Model_Lists!$A$4),J$2,"")</f>
        <v/>
      </c>
    </row>
    <row r="14" spans="2:25">
      <c r="B14" t="s">
        <v>8</v>
      </c>
      <c r="C14" s="2" t="s">
        <v>5</v>
      </c>
      <c r="D14" s="2" t="s">
        <v>5</v>
      </c>
      <c r="E14" s="2" t="s">
        <v>5</v>
      </c>
      <c r="F14" s="2" t="s">
        <v>4</v>
      </c>
      <c r="G14" s="2" t="s">
        <v>5</v>
      </c>
      <c r="H14" s="2" t="s">
        <v>4</v>
      </c>
      <c r="I14" s="2" t="s">
        <v>4</v>
      </c>
      <c r="J14" s="2" t="s">
        <v>4</v>
      </c>
      <c r="K14" s="2" t="b">
        <f>'4. Design features'!F28=INDEX(RatingOptionSelect,2)</f>
        <v>0</v>
      </c>
      <c r="L14" s="2" t="str">
        <f>IF('4. Design features'!G28=0,"",'4. Design features'!G28)</f>
        <v/>
      </c>
      <c r="M14" s="2" t="b">
        <f>ISBLANK('4. Design features'!I28)=FALSE</f>
        <v>0</v>
      </c>
      <c r="N14" s="2" t="str">
        <f>IF('4. Design features'!H28=0,"",'4. Design features'!H28)</f>
        <v/>
      </c>
      <c r="O14" s="2" t="str">
        <f>IF('4. Design features'!I28=0,"",'4. Design features'!I28)</f>
        <v/>
      </c>
      <c r="P14" t="s">
        <v>260</v>
      </c>
      <c r="Q14" t="str">
        <f t="shared" si="0"/>
        <v>💦 🌧 🌊💨</v>
      </c>
      <c r="R14" t="str">
        <f>IF(AND(C14="Yes",C$4=Model_Lists!$A$4),C$2,"")</f>
        <v xml:space="preserve">💦 </v>
      </c>
      <c r="S14" t="str">
        <f>IF(AND(D14="Yes",D$4=Model_Lists!$A$4),D$2,"")</f>
        <v xml:space="preserve">🌧 </v>
      </c>
      <c r="T14" t="str">
        <f>IF(AND(E14="Yes",E$4=Model_Lists!$A$4),E$2,"")</f>
        <v>🌊</v>
      </c>
      <c r="U14" t="str">
        <f>IF(AND(F14="Yes",F$4=Model_Lists!$A$4),F$2,"")</f>
        <v/>
      </c>
      <c r="V14" t="str">
        <f>IF(AND(G14="Yes",G$4=Model_Lists!$A$4),G$2,"")</f>
        <v>💨</v>
      </c>
      <c r="W14" t="str">
        <f>IF(AND(H14="Yes",H$4=Model_Lists!$A$4),H$2,"")</f>
        <v/>
      </c>
      <c r="X14" t="str">
        <f>IF(AND(I14="Yes",I$4=Model_Lists!$A$4),I$2,"")</f>
        <v/>
      </c>
      <c r="Y14" t="str">
        <f>IF(AND(J14="Yes",J$4=Model_Lists!$A$4),J$2,"")</f>
        <v/>
      </c>
    </row>
    <row r="15" spans="2:25">
      <c r="B15" t="s">
        <v>9</v>
      </c>
      <c r="C15" s="2" t="s">
        <v>5</v>
      </c>
      <c r="D15" s="2" t="s">
        <v>5</v>
      </c>
      <c r="E15" s="2" t="s">
        <v>5</v>
      </c>
      <c r="F15" s="2" t="s">
        <v>5</v>
      </c>
      <c r="G15" s="2" t="s">
        <v>4</v>
      </c>
      <c r="H15" s="2" t="s">
        <v>4</v>
      </c>
      <c r="I15" s="2" t="s">
        <v>5</v>
      </c>
      <c r="J15" s="2" t="s">
        <v>5</v>
      </c>
      <c r="K15" s="2" t="b">
        <f>'4. Design features'!F29=INDEX(RatingOptionSelect,2)</f>
        <v>1</v>
      </c>
      <c r="L15" s="2" t="str">
        <f>IF('4. Design features'!G29=0,"",'4. Design features'!G29)</f>
        <v>Sealed inlet chambers, and manholes. If properly constructed, inlet chambers and manholes will prevent ingress from floodwater/seawater entering the ABR</v>
      </c>
      <c r="M15" s="2" t="b">
        <f>ISBLANK('4. Design features'!I29)=FALSE</f>
        <v>1</v>
      </c>
      <c r="N15" s="2" t="str">
        <f>IF('4. Design features'!H29=0,"",'4. Design features'!H29)</f>
        <v>The outlet is not sealed, so backflow is possible when water levels are high</v>
      </c>
      <c r="O15" s="2" t="str">
        <f>IF('4. Design features'!I29=0,"",'4. Design features'!I29)</f>
        <v>You could install a non-return valve on the outlet to prevent backflow from entering chambers
Screens for input could reduce clogging from solid waste or other debris. This may also introduce another failure point and also introduces another level of maintenance moving potential downstream failure (clogging over time) upstream (more shorter term challenges such as blocked screens).</v>
      </c>
      <c r="P15" t="s">
        <v>261</v>
      </c>
      <c r="Q15" t="str">
        <f t="shared" si="0"/>
        <v>💦 🌧 🌊🔥🌡☀️</v>
      </c>
      <c r="R15" t="str">
        <f>IF(AND(C15="Yes",C$4=Model_Lists!$A$4),C$2,"")</f>
        <v xml:space="preserve">💦 </v>
      </c>
      <c r="S15" t="str">
        <f>IF(AND(D15="Yes",D$4=Model_Lists!$A$4),D$2,"")</f>
        <v xml:space="preserve">🌧 </v>
      </c>
      <c r="T15" t="str">
        <f>IF(AND(E15="Yes",E$4=Model_Lists!$A$4),E$2,"")</f>
        <v>🌊</v>
      </c>
      <c r="U15" t="str">
        <f>IF(AND(F15="Yes",F$4=Model_Lists!$A$4),F$2,"")</f>
        <v>🔥</v>
      </c>
      <c r="V15" t="str">
        <f>IF(AND(G15="Yes",G$4=Model_Lists!$A$4),G$2,"")</f>
        <v/>
      </c>
      <c r="W15" t="str">
        <f>IF(AND(H15="Yes",H$4=Model_Lists!$A$4),H$2,"")</f>
        <v/>
      </c>
      <c r="X15" t="str">
        <f>IF(AND(I15="Yes",I$4=Model_Lists!$A$4),I$2,"")</f>
        <v>🌡</v>
      </c>
      <c r="Y15" t="str">
        <f>IF(AND(J15="Yes",J$4=Model_Lists!$A$4),J$2,"")</f>
        <v>☀️</v>
      </c>
    </row>
    <row r="16" spans="2:25">
      <c r="B16" s="1" t="s">
        <v>136</v>
      </c>
      <c r="C16" s="1" t="s">
        <v>20</v>
      </c>
      <c r="D16" s="1" t="s">
        <v>20</v>
      </c>
      <c r="E16" s="1" t="s">
        <v>20</v>
      </c>
      <c r="F16" s="1" t="s">
        <v>20</v>
      </c>
      <c r="G16" s="1" t="s">
        <v>20</v>
      </c>
      <c r="H16" s="1" t="s">
        <v>20</v>
      </c>
      <c r="I16" s="1" t="s">
        <v>20</v>
      </c>
      <c r="J16" s="1" t="s">
        <v>20</v>
      </c>
      <c r="K16" s="2" t="b">
        <f>'4. Design features'!F30=INDEX(RatingOptionSelect,2)</f>
        <v>0</v>
      </c>
      <c r="L16" s="2" t="str">
        <f>IF('4. Design features'!G30=0,"",'4. Design features'!G30)</f>
        <v/>
      </c>
      <c r="M16" s="2" t="b">
        <f>ISBLANK('4. Design features'!I30)=FALSE</f>
        <v>0</v>
      </c>
      <c r="N16" s="2" t="str">
        <f>IF('4. Design features'!H30=0,"",'4. Design features'!H30)</f>
        <v/>
      </c>
      <c r="O16" s="2" t="str">
        <f>IF('4. Design features'!I30=0,"",'4. Design features'!I30)</f>
        <v/>
      </c>
      <c r="Q16" t="str">
        <f t="shared" si="0"/>
        <v/>
      </c>
      <c r="R16" t="str">
        <f>IF(AND(C16="Yes",C$4=Model_Lists!$A$4),C$2,"")</f>
        <v/>
      </c>
      <c r="S16" t="str">
        <f>IF(AND(D16="Yes",D$4=Model_Lists!$A$4),D$2,"")</f>
        <v/>
      </c>
      <c r="T16" t="str">
        <f>IF(AND(E16="Yes",E$4=Model_Lists!$A$4),E$2,"")</f>
        <v/>
      </c>
      <c r="U16" t="str">
        <f>IF(AND(F16="Yes",F$4=Model_Lists!$A$4),F$2,"")</f>
        <v/>
      </c>
      <c r="V16" t="str">
        <f>IF(AND(G16="Yes",G$4=Model_Lists!$A$4),G$2,"")</f>
        <v/>
      </c>
      <c r="W16" t="str">
        <f>IF(AND(H16="Yes",H$4=Model_Lists!$A$4),H$2,"")</f>
        <v/>
      </c>
      <c r="X16" t="str">
        <f>IF(AND(I16="Yes",I$4=Model_Lists!$A$4),I$2,"")</f>
        <v/>
      </c>
      <c r="Y16" t="str">
        <f>IF(AND(J16="Yes",J$4=Model_Lists!$A$4),J$2,"")</f>
        <v/>
      </c>
    </row>
    <row r="17" spans="2:25">
      <c r="B17" t="s">
        <v>29</v>
      </c>
      <c r="C17" s="2" t="s">
        <v>5</v>
      </c>
      <c r="D17" s="2" t="s">
        <v>5</v>
      </c>
      <c r="E17" s="2" t="s">
        <v>5</v>
      </c>
      <c r="F17" s="2" t="s">
        <v>5</v>
      </c>
      <c r="G17" s="2" t="s">
        <v>5</v>
      </c>
      <c r="H17" s="2" t="s">
        <v>5</v>
      </c>
      <c r="I17" s="2" t="s">
        <v>5</v>
      </c>
      <c r="J17" s="2" t="s">
        <v>5</v>
      </c>
      <c r="K17" s="2" t="b">
        <f>'4. Design features'!F31=INDEX(RatingOptionSelect,2)</f>
        <v>0</v>
      </c>
      <c r="L17" s="2" t="str">
        <f>IF('4. Design features'!G31=0,"",'4. Design features'!G31)</f>
        <v/>
      </c>
      <c r="M17" s="2" t="b">
        <f>ISBLANK('4. Design features'!I31)=FALSE</f>
        <v>1</v>
      </c>
      <c r="N17" s="2" t="str">
        <f>IF('4. Design features'!H31=0,"",'4. Design features'!H31)</f>
        <v>The technology needs a minimum amount of water to ensure it can flow between chambers. Reductions in water supply (e.g. drought) would likely reduce water flow potentially reducing it's functionality. Adaptability in this regard is not integrated into the design. It would require some user intervention.
In times of increasing flood or rainfall, there may be additional water inputs into the ABR. If retention times were too fast, this would compromise the level of treatment.
Discharge to a soak pit (not detailed in the design) could reduce the impact of backflow from raised receiving water levels and may reduce impact on waterway quality during drought periods when dilution capacity of waterways are reduced.</v>
      </c>
      <c r="O17" s="2" t="str">
        <f>IF('4. Design features'!I31=0,"",'4. Design features'!I31)</f>
        <v>Effluent could be recirculated through the ABR in times of low water. This would require a pumping system which adds cost and complexity to the design.
A shut off valve or similar may be useful in times of flood, sea inundation or high rain if water ingreess into the ABR is an issue.</v>
      </c>
      <c r="P17" t="s">
        <v>262</v>
      </c>
      <c r="Q17" t="str">
        <f t="shared" si="0"/>
        <v>💦 🌧 🌊🔥💨🌵 🌡☀️</v>
      </c>
      <c r="R17" t="str">
        <f>IF(AND(C17="Yes",C$4=Model_Lists!$A$4),C$2,"")</f>
        <v xml:space="preserve">💦 </v>
      </c>
      <c r="S17" t="str">
        <f>IF(AND(D17="Yes",D$4=Model_Lists!$A$4),D$2,"")</f>
        <v xml:space="preserve">🌧 </v>
      </c>
      <c r="T17" t="str">
        <f>IF(AND(E17="Yes",E$4=Model_Lists!$A$4),E$2,"")</f>
        <v>🌊</v>
      </c>
      <c r="U17" t="str">
        <f>IF(AND(F17="Yes",F$4=Model_Lists!$A$4),F$2,"")</f>
        <v>🔥</v>
      </c>
      <c r="V17" t="str">
        <f>IF(AND(G17="Yes",G$4=Model_Lists!$A$4),G$2,"")</f>
        <v>💨</v>
      </c>
      <c r="W17" t="str">
        <f>IF(AND(H17="Yes",H$4=Model_Lists!$A$4),H$2,"")</f>
        <v xml:space="preserve">🌵 </v>
      </c>
      <c r="X17" t="str">
        <f>IF(AND(I17="Yes",I$4=Model_Lists!$A$4),I$2,"")</f>
        <v>🌡</v>
      </c>
      <c r="Y17" t="str">
        <f>IF(AND(J17="Yes",J$4=Model_Lists!$A$4),J$2,"")</f>
        <v>☀️</v>
      </c>
    </row>
    <row r="18" spans="2:25">
      <c r="B18" t="s">
        <v>30</v>
      </c>
      <c r="C18" s="2" t="s">
        <v>5</v>
      </c>
      <c r="D18" s="2" t="s">
        <v>5</v>
      </c>
      <c r="E18" s="2" t="s">
        <v>4</v>
      </c>
      <c r="F18" s="2" t="s">
        <v>5</v>
      </c>
      <c r="G18" s="2" t="s">
        <v>5</v>
      </c>
      <c r="H18" s="2" t="s">
        <v>5</v>
      </c>
      <c r="I18" s="2" t="s">
        <v>4</v>
      </c>
      <c r="J18" s="2" t="s">
        <v>4</v>
      </c>
      <c r="K18" s="2" t="b">
        <f>'4. Design features'!F32=INDEX(RatingOptionSelect,2)</f>
        <v>0</v>
      </c>
      <c r="L18" s="2" t="str">
        <f>IF('4. Design features'!G32=0,"",'4. Design features'!G32)</f>
        <v/>
      </c>
      <c r="M18" s="2" t="b">
        <f>ISBLANK('4. Design features'!I32)=FALSE</f>
        <v>1</v>
      </c>
      <c r="N18" s="2" t="str">
        <f>IF('4. Design features'!H32=0,"",'4. Design features'!H32)</f>
        <v xml:space="preserve">Module elements (e.g. additional chambers) to the ABR can not be easily removed or bypassed, however could be added if there was space at either end or possibly piped to additional baffles nearby. However, adding on extra modules is not a common practice.  </v>
      </c>
      <c r="O18" s="2" t="str">
        <f>IF('4. Design features'!I32=0,"",'4. Design features'!I32)</f>
        <v>The concrete structure makes removing modules difficult. Providing pipe fitting or junction boxes at the start or end would ease future modifications, as would allowing additional space for more buffers or a parallel systems in the site selection</v>
      </c>
      <c r="P18" t="s">
        <v>263</v>
      </c>
      <c r="Q18" t="str">
        <f t="shared" si="0"/>
        <v xml:space="preserve">💦 🌧 🔥💨🌵 </v>
      </c>
      <c r="R18" t="str">
        <f>IF(AND(C18="Yes",C$4=Model_Lists!$A$4),C$2,"")</f>
        <v xml:space="preserve">💦 </v>
      </c>
      <c r="S18" t="str">
        <f>IF(AND(D18="Yes",D$4=Model_Lists!$A$4),D$2,"")</f>
        <v xml:space="preserve">🌧 </v>
      </c>
      <c r="T18" t="str">
        <f>IF(AND(E18="Yes",E$4=Model_Lists!$A$4),E$2,"")</f>
        <v/>
      </c>
      <c r="U18" t="str">
        <f>IF(AND(F18="Yes",F$4=Model_Lists!$A$4),F$2,"")</f>
        <v>🔥</v>
      </c>
      <c r="V18" t="str">
        <f>IF(AND(G18="Yes",G$4=Model_Lists!$A$4),G$2,"")</f>
        <v>💨</v>
      </c>
      <c r="W18" t="str">
        <f>IF(AND(H18="Yes",H$4=Model_Lists!$A$4),H$2,"")</f>
        <v xml:space="preserve">🌵 </v>
      </c>
      <c r="X18" t="str">
        <f>IF(AND(I18="Yes",I$4=Model_Lists!$A$4),I$2,"")</f>
        <v/>
      </c>
      <c r="Y18" t="str">
        <f>IF(AND(J18="Yes",J$4=Model_Lists!$A$4),J$2,"")</f>
        <v/>
      </c>
    </row>
    <row r="19" spans="2:25">
      <c r="B19" t="s">
        <v>12</v>
      </c>
      <c r="C19" s="2" t="s">
        <v>5</v>
      </c>
      <c r="D19" s="2" t="s">
        <v>5</v>
      </c>
      <c r="E19" s="2" t="s">
        <v>5</v>
      </c>
      <c r="F19" s="2" t="s">
        <v>5</v>
      </c>
      <c r="G19" s="2" t="s">
        <v>5</v>
      </c>
      <c r="H19" s="2" t="s">
        <v>4</v>
      </c>
      <c r="I19" s="2" t="s">
        <v>4</v>
      </c>
      <c r="J19" s="2" t="s">
        <v>4</v>
      </c>
      <c r="K19" s="2" t="b">
        <f>'4. Design features'!F33=INDEX(RatingOptionSelect,2)</f>
        <v>0</v>
      </c>
      <c r="L19" s="2" t="str">
        <f>IF('4. Design features'!G33=0,"",'4. Design features'!G33)</f>
        <v/>
      </c>
      <c r="M19" s="2" t="b">
        <f>ISBLANK('4. Design features'!I33)=FALSE</f>
        <v>0</v>
      </c>
      <c r="N19" s="2" t="str">
        <f>IF('4. Design features'!H33=0,"",'4. Design features'!H33)</f>
        <v/>
      </c>
      <c r="O19" s="2" t="str">
        <f>IF('4. Design features'!I33=0,"",'4. Design features'!I33)</f>
        <v/>
      </c>
      <c r="P19" t="s">
        <v>264</v>
      </c>
      <c r="Q19" t="str">
        <f t="shared" si="0"/>
        <v>💦 🌧 🌊🔥💨</v>
      </c>
      <c r="R19" t="str">
        <f>IF(AND(C19="Yes",C$4=Model_Lists!$A$4),C$2,"")</f>
        <v xml:space="preserve">💦 </v>
      </c>
      <c r="S19" t="str">
        <f>IF(AND(D19="Yes",D$4=Model_Lists!$A$4),D$2,"")</f>
        <v xml:space="preserve">🌧 </v>
      </c>
      <c r="T19" t="str">
        <f>IF(AND(E19="Yes",E$4=Model_Lists!$A$4),E$2,"")</f>
        <v>🌊</v>
      </c>
      <c r="U19" t="str">
        <f>IF(AND(F19="Yes",F$4=Model_Lists!$A$4),F$2,"")</f>
        <v>🔥</v>
      </c>
      <c r="V19" t="str">
        <f>IF(AND(G19="Yes",G$4=Model_Lists!$A$4),G$2,"")</f>
        <v>💨</v>
      </c>
      <c r="W19" t="str">
        <f>IF(AND(H19="Yes",H$4=Model_Lists!$A$4),H$2,"")</f>
        <v/>
      </c>
      <c r="X19" t="str">
        <f>IF(AND(I19="Yes",I$4=Model_Lists!$A$4),I$2,"")</f>
        <v/>
      </c>
      <c r="Y19" t="str">
        <f>IF(AND(J19="Yes",J$4=Model_Lists!$A$4),J$2,"")</f>
        <v/>
      </c>
    </row>
    <row r="20" spans="2:25">
      <c r="B20" t="s">
        <v>13</v>
      </c>
      <c r="C20" s="2" t="s">
        <v>5</v>
      </c>
      <c r="D20" s="2" t="s">
        <v>5</v>
      </c>
      <c r="E20" s="2" t="s">
        <v>5</v>
      </c>
      <c r="F20" s="2" t="s">
        <v>5</v>
      </c>
      <c r="G20" s="2" t="s">
        <v>5</v>
      </c>
      <c r="H20" s="2" t="s">
        <v>5</v>
      </c>
      <c r="I20" s="2" t="s">
        <v>5</v>
      </c>
      <c r="J20" s="2" t="s">
        <v>5</v>
      </c>
      <c r="K20" s="2" t="b">
        <f>'4. Design features'!F34=INDEX(RatingOptionSelect,2)</f>
        <v>1</v>
      </c>
      <c r="L20" s="2" t="str">
        <f>IF('4. Design features'!G34=0,"",'4. Design features'!G34)</f>
        <v>Multiple settlement and ABR chambers. If one chamber fails, the other chamber/s will provide a level of treatment.</v>
      </c>
      <c r="M20" s="2" t="b">
        <f>ISBLANK('4. Design features'!I34)=FALSE</f>
        <v>0</v>
      </c>
      <c r="N20" s="2" t="str">
        <f>IF('4. Design features'!H34=0,"",'4. Design features'!H34)</f>
        <v>A failure of one chamber will reduce treatment capability (though not result in total loss of treatment)</v>
      </c>
      <c r="O20" s="2" t="str">
        <f>IF('4. Design features'!I34=0,"",'4. Design features'!I34)</f>
        <v/>
      </c>
      <c r="P20" t="s">
        <v>265</v>
      </c>
      <c r="Q20" t="str">
        <f t="shared" si="0"/>
        <v>💦 🌧 🌊🔥💨🌵 🌡☀️</v>
      </c>
      <c r="R20" t="str">
        <f>IF(AND(C20="Yes",C$4=Model_Lists!$A$4),C$2,"")</f>
        <v xml:space="preserve">💦 </v>
      </c>
      <c r="S20" t="str">
        <f>IF(AND(D20="Yes",D$4=Model_Lists!$A$4),D$2,"")</f>
        <v xml:space="preserve">🌧 </v>
      </c>
      <c r="T20" t="str">
        <f>IF(AND(E20="Yes",E$4=Model_Lists!$A$4),E$2,"")</f>
        <v>🌊</v>
      </c>
      <c r="U20" t="str">
        <f>IF(AND(F20="Yes",F$4=Model_Lists!$A$4),F$2,"")</f>
        <v>🔥</v>
      </c>
      <c r="V20" t="str">
        <f>IF(AND(G20="Yes",G$4=Model_Lists!$A$4),G$2,"")</f>
        <v>💨</v>
      </c>
      <c r="W20" t="str">
        <f>IF(AND(H20="Yes",H$4=Model_Lists!$A$4),H$2,"")</f>
        <v xml:space="preserve">🌵 </v>
      </c>
      <c r="X20" t="str">
        <f>IF(AND(I20="Yes",I$4=Model_Lists!$A$4),I$2,"")</f>
        <v>🌡</v>
      </c>
      <c r="Y20" t="str">
        <f>IF(AND(J20="Yes",J$4=Model_Lists!$A$4),J$2,"")</f>
        <v>☀️</v>
      </c>
    </row>
    <row r="21" spans="2:25">
      <c r="B21" t="s">
        <v>31</v>
      </c>
      <c r="C21" s="2" t="s">
        <v>5</v>
      </c>
      <c r="D21" s="2" t="s">
        <v>5</v>
      </c>
      <c r="E21" s="2" t="s">
        <v>5</v>
      </c>
      <c r="F21" s="2" t="s">
        <v>5</v>
      </c>
      <c r="G21" s="2" t="s">
        <v>5</v>
      </c>
      <c r="H21" s="2" t="s">
        <v>5</v>
      </c>
      <c r="I21" s="2" t="s">
        <v>4</v>
      </c>
      <c r="J21" s="2" t="s">
        <v>5</v>
      </c>
      <c r="K21" s="2" t="b">
        <f>'4. Design features'!F35=INDEX(RatingOptionSelect,2)</f>
        <v>0</v>
      </c>
      <c r="L21" s="2" t="str">
        <f>IF('4. Design features'!G35=0,"",'4. Design features'!G35)</f>
        <v/>
      </c>
      <c r="M21" s="2" t="b">
        <f>ISBLANK('4. Design features'!I35)=FALSE</f>
        <v>1</v>
      </c>
      <c r="N21" s="2" t="str">
        <f>IF('4. Design features'!H35=0,"",'4. Design features'!H35)</f>
        <v>It's difficult to know if there are issues until the technology is already having major issues (e.g. toilets can't be flushed). Difficult to know if effluent is being treated adequately.</v>
      </c>
      <c r="O21" s="2" t="str">
        <f>IF('4. Design features'!I35=0,"",'4. Design features'!I35)</f>
        <v>Remote flow sensing, or flow analogue gauge of flow rates through inlets, chambers and outlets would indicate if the ABR was failing.</v>
      </c>
      <c r="P21" t="s">
        <v>266</v>
      </c>
      <c r="Q21" t="str">
        <f t="shared" si="0"/>
        <v>💦 🌧 🌊🔥💨🌵 ☀️</v>
      </c>
      <c r="R21" t="str">
        <f>IF(AND(C21="Yes",C$4=Model_Lists!$A$4),C$2,"")</f>
        <v xml:space="preserve">💦 </v>
      </c>
      <c r="S21" t="str">
        <f>IF(AND(D21="Yes",D$4=Model_Lists!$A$4),D$2,"")</f>
        <v xml:space="preserve">🌧 </v>
      </c>
      <c r="T21" t="str">
        <f>IF(AND(E21="Yes",E$4=Model_Lists!$A$4),E$2,"")</f>
        <v>🌊</v>
      </c>
      <c r="U21" t="str">
        <f>IF(AND(F21="Yes",F$4=Model_Lists!$A$4),F$2,"")</f>
        <v>🔥</v>
      </c>
      <c r="V21" t="str">
        <f>IF(AND(G21="Yes",G$4=Model_Lists!$A$4),G$2,"")</f>
        <v>💨</v>
      </c>
      <c r="W21" t="str">
        <f>IF(AND(H21="Yes",H$4=Model_Lists!$A$4),H$2,"")</f>
        <v xml:space="preserve">🌵 </v>
      </c>
      <c r="X21" t="str">
        <f>IF(AND(I21="Yes",I$4=Model_Lists!$A$4),I$2,"")</f>
        <v/>
      </c>
      <c r="Y21" t="str">
        <f>IF(AND(J21="Yes",J$4=Model_Lists!$A$4),J$2,"")</f>
        <v>☀️</v>
      </c>
    </row>
    <row r="22" spans="2:25">
      <c r="B22" s="1" t="s">
        <v>133</v>
      </c>
      <c r="C22" s="1" t="s">
        <v>20</v>
      </c>
      <c r="D22" s="1" t="s">
        <v>20</v>
      </c>
      <c r="E22" s="1" t="s">
        <v>20</v>
      </c>
      <c r="F22" s="1" t="s">
        <v>20</v>
      </c>
      <c r="G22" s="1" t="s">
        <v>20</v>
      </c>
      <c r="H22" s="1" t="s">
        <v>20</v>
      </c>
      <c r="I22" s="1" t="s">
        <v>20</v>
      </c>
      <c r="J22" s="1" t="s">
        <v>20</v>
      </c>
      <c r="K22" s="2" t="b">
        <f>'4. Design features'!F36=INDEX(RatingOptionSelect,2)</f>
        <v>0</v>
      </c>
      <c r="L22" s="2" t="str">
        <f>IF('4. Design features'!G36=0,"",'4. Design features'!G36)</f>
        <v/>
      </c>
      <c r="M22" s="2" t="b">
        <f>ISBLANK('4. Design features'!I36)=FALSE</f>
        <v>0</v>
      </c>
      <c r="N22" s="2" t="str">
        <f>IF('4. Design features'!H36=0,"",'4. Design features'!H36)</f>
        <v/>
      </c>
      <c r="O22" s="2" t="str">
        <f>IF('4. Design features'!I36=0,"",'4. Design features'!I36)</f>
        <v/>
      </c>
      <c r="Q22" t="str">
        <f t="shared" si="0"/>
        <v/>
      </c>
      <c r="R22" t="str">
        <f>IF(AND(C22="Yes",C$4=Model_Lists!$A$4),C$2,"")</f>
        <v/>
      </c>
      <c r="S22" t="str">
        <f>IF(AND(D22="Yes",D$4=Model_Lists!$A$4),D$2,"")</f>
        <v/>
      </c>
      <c r="T22" t="str">
        <f>IF(AND(E22="Yes",E$4=Model_Lists!$A$4),E$2,"")</f>
        <v/>
      </c>
      <c r="U22" t="str">
        <f>IF(AND(F22="Yes",F$4=Model_Lists!$A$4),F$2,"")</f>
        <v/>
      </c>
      <c r="V22" t="str">
        <f>IF(AND(G22="Yes",G$4=Model_Lists!$A$4),G$2,"")</f>
        <v/>
      </c>
      <c r="W22" t="str">
        <f>IF(AND(H22="Yes",H$4=Model_Lists!$A$4),H$2,"")</f>
        <v/>
      </c>
      <c r="X22" t="str">
        <f>IF(AND(I22="Yes",I$4=Model_Lists!$A$4),I$2,"")</f>
        <v/>
      </c>
      <c r="Y22" t="str">
        <f>IF(AND(J22="Yes",J$4=Model_Lists!$A$4),J$2,"")</f>
        <v/>
      </c>
    </row>
    <row r="23" spans="2:25">
      <c r="B23" t="s">
        <v>14</v>
      </c>
      <c r="C23" s="2" t="s">
        <v>5</v>
      </c>
      <c r="D23" s="2" t="s">
        <v>4</v>
      </c>
      <c r="E23" s="2" t="s">
        <v>5</v>
      </c>
      <c r="F23" s="2" t="s">
        <v>5</v>
      </c>
      <c r="G23" s="2" t="s">
        <v>5</v>
      </c>
      <c r="H23" s="2" t="s">
        <v>4</v>
      </c>
      <c r="I23" s="2" t="s">
        <v>4</v>
      </c>
      <c r="J23" s="2" t="s">
        <v>4</v>
      </c>
      <c r="K23" s="2" t="b">
        <f>'4. Design features'!F37=INDEX(RatingOptionSelect,2)</f>
        <v>0</v>
      </c>
      <c r="L23" s="2" t="str">
        <f>IF('4. Design features'!G37=0,"",'4. Design features'!G37)</f>
        <v/>
      </c>
      <c r="M23" s="2" t="b">
        <f>ISBLANK('4. Design features'!I37)=FALSE</f>
        <v>0</v>
      </c>
      <c r="N23" s="2" t="str">
        <f>IF('4. Design features'!H37=0,"",'4. Design features'!H37)</f>
        <v/>
      </c>
      <c r="O23" s="2" t="str">
        <f>IF('4. Design features'!I37=0,"",'4. Design features'!I37)</f>
        <v/>
      </c>
      <c r="P23" t="s">
        <v>267</v>
      </c>
      <c r="Q23" t="str">
        <f t="shared" si="0"/>
        <v>💦 🌊🔥💨</v>
      </c>
      <c r="R23" t="str">
        <f>IF(AND(C23="Yes",C$4=Model_Lists!$A$4),C$2,"")</f>
        <v xml:space="preserve">💦 </v>
      </c>
      <c r="S23" t="str">
        <f>IF(AND(D23="Yes",D$4=Model_Lists!$A$4),D$2,"")</f>
        <v/>
      </c>
      <c r="T23" t="str">
        <f>IF(AND(E23="Yes",E$4=Model_Lists!$A$4),E$2,"")</f>
        <v>🌊</v>
      </c>
      <c r="U23" t="str">
        <f>IF(AND(F23="Yes",F$4=Model_Lists!$A$4),F$2,"")</f>
        <v>🔥</v>
      </c>
      <c r="V23" t="str">
        <f>IF(AND(G23="Yes",G$4=Model_Lists!$A$4),G$2,"")</f>
        <v>💨</v>
      </c>
      <c r="W23" t="str">
        <f>IF(AND(H23="Yes",H$4=Model_Lists!$A$4),H$2,"")</f>
        <v/>
      </c>
      <c r="X23" t="str">
        <f>IF(AND(I23="Yes",I$4=Model_Lists!$A$4),I$2,"")</f>
        <v/>
      </c>
      <c r="Y23" t="str">
        <f>IF(AND(J23="Yes",J$4=Model_Lists!$A$4),J$2,"")</f>
        <v/>
      </c>
    </row>
    <row r="24" spans="2:25">
      <c r="B24" t="s">
        <v>33</v>
      </c>
      <c r="C24" s="2" t="s">
        <v>5</v>
      </c>
      <c r="D24" s="2" t="s">
        <v>5</v>
      </c>
      <c r="E24" s="2" t="s">
        <v>5</v>
      </c>
      <c r="F24" s="2" t="s">
        <v>5</v>
      </c>
      <c r="G24" s="2" t="s">
        <v>5</v>
      </c>
      <c r="H24" s="2" t="s">
        <v>5</v>
      </c>
      <c r="I24" s="2" t="s">
        <v>5</v>
      </c>
      <c r="J24" s="2" t="s">
        <v>5</v>
      </c>
      <c r="K24" s="2" t="b">
        <f>'4. Design features'!F38=INDEX(RatingOptionSelect,2)</f>
        <v>0</v>
      </c>
      <c r="L24" s="2" t="str">
        <f>IF('4. Design features'!G38=0,"",'4. Design features'!G38)</f>
        <v/>
      </c>
      <c r="M24" s="2" t="b">
        <f>ISBLANK('4. Design features'!I38)=FALSE</f>
        <v>1</v>
      </c>
      <c r="N24" s="2" t="str">
        <f>IF('4. Design features'!H38=0,"",'4. Design features'!H38)</f>
        <v>This depends on the degree of damage. It may provide a limited function if damaged (i.e. minor leakage of waste). However, some repairs may require inputs to be stopped or sludge to be removed to access areas for repair. It's not straightforward to isolate chambers.</v>
      </c>
      <c r="O24" s="2" t="str">
        <f>IF('4. Design features'!I38=0,"",'4. Design features'!I38)</f>
        <v>Options to bypass chambers for repairs when needed may mean the ABR could continue to function while chambers were repaired.</v>
      </c>
      <c r="P24" t="s">
        <v>268</v>
      </c>
      <c r="Q24" t="str">
        <f t="shared" si="0"/>
        <v>💦 🌧 🌊🔥💨🌵 🌡☀️</v>
      </c>
      <c r="R24" t="str">
        <f>IF(AND(C24="Yes",C$4=Model_Lists!$A$4),C$2,"")</f>
        <v xml:space="preserve">💦 </v>
      </c>
      <c r="S24" t="str">
        <f>IF(AND(D24="Yes",D$4=Model_Lists!$A$4),D$2,"")</f>
        <v xml:space="preserve">🌧 </v>
      </c>
      <c r="T24" t="str">
        <f>IF(AND(E24="Yes",E$4=Model_Lists!$A$4),E$2,"")</f>
        <v>🌊</v>
      </c>
      <c r="U24" t="str">
        <f>IF(AND(F24="Yes",F$4=Model_Lists!$A$4),F$2,"")</f>
        <v>🔥</v>
      </c>
      <c r="V24" t="str">
        <f>IF(AND(G24="Yes",G$4=Model_Lists!$A$4),G$2,"")</f>
        <v>💨</v>
      </c>
      <c r="W24" t="str">
        <f>IF(AND(H24="Yes",H$4=Model_Lists!$A$4),H$2,"")</f>
        <v xml:space="preserve">🌵 </v>
      </c>
      <c r="X24" t="str">
        <f>IF(AND(I24="Yes",I$4=Model_Lists!$A$4),I$2,"")</f>
        <v>🌡</v>
      </c>
      <c r="Y24" t="str">
        <f>IF(AND(J24="Yes",J$4=Model_Lists!$A$4),J$2,"")</f>
        <v>☀️</v>
      </c>
    </row>
    <row r="25" spans="2:25">
      <c r="B25" t="s">
        <v>32</v>
      </c>
      <c r="C25" s="2" t="s">
        <v>5</v>
      </c>
      <c r="D25" s="2" t="s">
        <v>5</v>
      </c>
      <c r="E25" s="2" t="s">
        <v>5</v>
      </c>
      <c r="F25" s="2" t="s">
        <v>5</v>
      </c>
      <c r="G25" s="2" t="s">
        <v>5</v>
      </c>
      <c r="H25" s="2" t="s">
        <v>5</v>
      </c>
      <c r="I25" s="2" t="s">
        <v>5</v>
      </c>
      <c r="J25" s="2" t="s">
        <v>5</v>
      </c>
      <c r="K25" s="2" t="b">
        <f>'4. Design features'!F39=INDEX(RatingOptionSelect,2)</f>
        <v>1</v>
      </c>
      <c r="L25" s="2" t="str">
        <f>IF('4. Design features'!G39=0,"",'4. Design features'!G39)</f>
        <v>Decentralised technology, may be connected to several households.  In the event of a failure, only a limited number of households connected to the ABR will be impacted. Compared to a sewered technology where large #'s of households would be impacted.</v>
      </c>
      <c r="M25" s="2" t="b">
        <f>ISBLANK('4. Design features'!I39)=FALSE</f>
        <v>1</v>
      </c>
      <c r="N25" s="2" t="str">
        <f>IF('4. Design features'!H39=0,"",'4. Design features'!H39)</f>
        <v>Compared to a septic tank, it is still possible that several households will have disrupted sanitation in the event of a failure. The assessment team noted there may be as many as 40 households connected to some ABRs.</v>
      </c>
      <c r="O25" s="2" t="str">
        <f>IF('4. Design features'!I39=0,"",'4. Design features'!I39)</f>
        <v>Guidelines on maximum number of households to be connected to an ABR.</v>
      </c>
      <c r="P25" t="s">
        <v>269</v>
      </c>
      <c r="Q25" t="str">
        <f t="shared" si="0"/>
        <v>💦 🌧 🌊🔥💨🌵 🌡☀️</v>
      </c>
      <c r="R25" t="str">
        <f>IF(AND(C25="Yes",C$4=Model_Lists!$A$4),C$2,"")</f>
        <v xml:space="preserve">💦 </v>
      </c>
      <c r="S25" t="str">
        <f>IF(AND(D25="Yes",D$4=Model_Lists!$A$4),D$2,"")</f>
        <v xml:space="preserve">🌧 </v>
      </c>
      <c r="T25" t="str">
        <f>IF(AND(E25="Yes",E$4=Model_Lists!$A$4),E$2,"")</f>
        <v>🌊</v>
      </c>
      <c r="U25" t="str">
        <f>IF(AND(F25="Yes",F$4=Model_Lists!$A$4),F$2,"")</f>
        <v>🔥</v>
      </c>
      <c r="V25" t="str">
        <f>IF(AND(G25="Yes",G$4=Model_Lists!$A$4),G$2,"")</f>
        <v>💨</v>
      </c>
      <c r="W25" t="str">
        <f>IF(AND(H25="Yes",H$4=Model_Lists!$A$4),H$2,"")</f>
        <v xml:space="preserve">🌵 </v>
      </c>
      <c r="X25" t="str">
        <f>IF(AND(I25="Yes",I$4=Model_Lists!$A$4),I$2,"")</f>
        <v>🌡</v>
      </c>
      <c r="Y25" t="str">
        <f>IF(AND(J25="Yes",J$4=Model_Lists!$A$4),J$2,"")</f>
        <v>☀️</v>
      </c>
    </row>
    <row r="26" spans="2:25">
      <c r="B26" s="1" t="s">
        <v>17</v>
      </c>
      <c r="C26" s="1" t="s">
        <v>20</v>
      </c>
      <c r="D26" s="1" t="s">
        <v>20</v>
      </c>
      <c r="E26" s="1" t="s">
        <v>20</v>
      </c>
      <c r="F26" s="1" t="s">
        <v>20</v>
      </c>
      <c r="G26" s="1" t="s">
        <v>20</v>
      </c>
      <c r="H26" s="1" t="s">
        <v>20</v>
      </c>
      <c r="I26" s="1" t="s">
        <v>20</v>
      </c>
      <c r="J26" s="1"/>
      <c r="K26" s="2" t="b">
        <f>'4. Design features'!F40=INDEX(RatingOptionSelect,2)</f>
        <v>0</v>
      </c>
      <c r="L26" s="2" t="str">
        <f>IF('4. Design features'!G40=0,"",'4. Design features'!G40)</f>
        <v/>
      </c>
      <c r="M26" s="2" t="b">
        <f>ISBLANK('4. Design features'!I40)=FALSE</f>
        <v>0</v>
      </c>
      <c r="N26" s="2" t="str">
        <f>IF('4. Design features'!H40=0,"",'4. Design features'!H40)</f>
        <v/>
      </c>
      <c r="O26" s="2" t="str">
        <f>IF('4. Design features'!I40=0,"",'4. Design features'!I40)</f>
        <v/>
      </c>
      <c r="Q26" t="str">
        <f t="shared" si="0"/>
        <v/>
      </c>
      <c r="R26" t="str">
        <f>IF(AND(C26="Yes",C$4=Model_Lists!$A$4),C$2,"")</f>
        <v/>
      </c>
      <c r="S26" t="str">
        <f>IF(AND(D26="Yes",D$4=Model_Lists!$A$4),D$2,"")</f>
        <v/>
      </c>
      <c r="T26" t="str">
        <f>IF(AND(E26="Yes",E$4=Model_Lists!$A$4),E$2,"")</f>
        <v/>
      </c>
      <c r="U26" t="str">
        <f>IF(AND(F26="Yes",F$4=Model_Lists!$A$4),F$2,"")</f>
        <v/>
      </c>
      <c r="V26" t="str">
        <f>IF(AND(G26="Yes",G$4=Model_Lists!$A$4),G$2,"")</f>
        <v/>
      </c>
      <c r="W26" t="str">
        <f>IF(AND(H26="Yes",H$4=Model_Lists!$A$4),H$2,"")</f>
        <v/>
      </c>
      <c r="X26" t="str">
        <f>IF(AND(I26="Yes",I$4=Model_Lists!$A$4),I$2,"")</f>
        <v/>
      </c>
      <c r="Y26" t="str">
        <f>IF(AND(J26="Yes",J$4=Model_Lists!$A$4),J$2,"")</f>
        <v/>
      </c>
    </row>
    <row r="27" spans="2:25">
      <c r="B27" t="s">
        <v>18</v>
      </c>
      <c r="C27" s="2" t="s">
        <v>5</v>
      </c>
      <c r="D27" s="2" t="s">
        <v>5</v>
      </c>
      <c r="E27" s="2" t="s">
        <v>5</v>
      </c>
      <c r="F27" s="2" t="s">
        <v>5</v>
      </c>
      <c r="G27" s="2" t="s">
        <v>5</v>
      </c>
      <c r="H27" s="2" t="s">
        <v>5</v>
      </c>
      <c r="I27" s="2" t="s">
        <v>5</v>
      </c>
      <c r="J27" s="2" t="s">
        <v>5</v>
      </c>
      <c r="K27" s="2" t="b">
        <f>'4. Design features'!F41=INDEX(RatingOptionSelect,2)</f>
        <v>1</v>
      </c>
      <c r="L27" s="2" t="str">
        <f>IF('4. Design features'!G41=0,"",'4. Design features'!G41)</f>
        <v xml:space="preserve">Materials are concrete, PVC and steel. If destroyed in fire, flood, etc it does not cause environmental pollution beyond the wastewater waste. There are not materials that would leach into groundwater or create other adverse public health affects. </v>
      </c>
      <c r="M27" s="2" t="b">
        <f>ISBLANK('4. Design features'!I41)=FALSE</f>
        <v>0</v>
      </c>
      <c r="N27" s="2" t="str">
        <f>IF('4. Design features'!H41=0,"",'4. Design features'!H41)</f>
        <v/>
      </c>
      <c r="O27" s="2" t="str">
        <f>IF('4. Design features'!I41=0,"",'4. Design features'!I41)</f>
        <v/>
      </c>
      <c r="P27" t="s">
        <v>270</v>
      </c>
      <c r="Q27" t="str">
        <f t="shared" si="0"/>
        <v>💦 🌧 🌊🔥💨🌵 🌡☀️</v>
      </c>
      <c r="R27" t="str">
        <f>IF(AND(C27="Yes",C$4=Model_Lists!$A$4),C$2,"")</f>
        <v xml:space="preserve">💦 </v>
      </c>
      <c r="S27" t="str">
        <f>IF(AND(D27="Yes",D$4=Model_Lists!$A$4),D$2,"")</f>
        <v xml:space="preserve">🌧 </v>
      </c>
      <c r="T27" t="str">
        <f>IF(AND(E27="Yes",E$4=Model_Lists!$A$4),E$2,"")</f>
        <v>🌊</v>
      </c>
      <c r="U27" t="str">
        <f>IF(AND(F27="Yes",F$4=Model_Lists!$A$4),F$2,"")</f>
        <v>🔥</v>
      </c>
      <c r="V27" t="str">
        <f>IF(AND(G27="Yes",G$4=Model_Lists!$A$4),G$2,"")</f>
        <v>💨</v>
      </c>
      <c r="W27" t="str">
        <f>IF(AND(H27="Yes",H$4=Model_Lists!$A$4),H$2,"")</f>
        <v xml:space="preserve">🌵 </v>
      </c>
      <c r="X27" t="str">
        <f>IF(AND(I27="Yes",I$4=Model_Lists!$A$4),I$2,"")</f>
        <v>🌡</v>
      </c>
      <c r="Y27" t="str">
        <f>IF(AND(J27="Yes",J$4=Model_Lists!$A$4),J$2,"")</f>
        <v>☀️</v>
      </c>
    </row>
    <row r="28" spans="2:25">
      <c r="B28" t="s">
        <v>34</v>
      </c>
      <c r="C28" s="2" t="s">
        <v>5</v>
      </c>
      <c r="D28" s="2" t="s">
        <v>5</v>
      </c>
      <c r="E28" s="2" t="s">
        <v>5</v>
      </c>
      <c r="F28" s="2" t="s">
        <v>5</v>
      </c>
      <c r="G28" s="2" t="s">
        <v>5</v>
      </c>
      <c r="H28" s="2" t="s">
        <v>5</v>
      </c>
      <c r="I28" s="2" t="s">
        <v>5</v>
      </c>
      <c r="J28" s="2" t="s">
        <v>5</v>
      </c>
      <c r="K28" s="2" t="b">
        <f>'4. Design features'!F42=INDEX(RatingOptionSelect,2)</f>
        <v>0</v>
      </c>
      <c r="L28" s="2" t="str">
        <f>IF('4. Design features'!G42=0,"",'4. Design features'!G42)</f>
        <v/>
      </c>
      <c r="M28" s="2" t="b">
        <f>ISBLANK('4. Design features'!I42)=FALSE</f>
        <v>1</v>
      </c>
      <c r="N28" s="2" t="str">
        <f>IF('4. Design features'!H42=0,"",'4. Design features'!H42)</f>
        <v>The broken concrete is generally not easily used for other purposes.</v>
      </c>
      <c r="O28" s="2" t="str">
        <f>IF('4. Design features'!I42=0,"",'4. Design features'!I42)</f>
        <v>If the chambers were built out of bricks, they could potentially be recovered and used for other purposes.</v>
      </c>
      <c r="P28" t="s">
        <v>271</v>
      </c>
      <c r="Q28" t="str">
        <f t="shared" si="0"/>
        <v>💦 🌧 🌊🔥💨🌵 🌡☀️</v>
      </c>
      <c r="R28" t="str">
        <f>IF(AND(C28="Yes",C$4=Model_Lists!$A$4),C$2,"")</f>
        <v xml:space="preserve">💦 </v>
      </c>
      <c r="S28" t="str">
        <f>IF(AND(D28="Yes",D$4=Model_Lists!$A$4),D$2,"")</f>
        <v xml:space="preserve">🌧 </v>
      </c>
      <c r="T28" t="str">
        <f>IF(AND(E28="Yes",E$4=Model_Lists!$A$4),E$2,"")</f>
        <v>🌊</v>
      </c>
      <c r="U28" t="str">
        <f>IF(AND(F28="Yes",F$4=Model_Lists!$A$4),F$2,"")</f>
        <v>🔥</v>
      </c>
      <c r="V28" t="str">
        <f>IF(AND(G28="Yes",G$4=Model_Lists!$A$4),G$2,"")</f>
        <v>💨</v>
      </c>
      <c r="W28" t="str">
        <f>IF(AND(H28="Yes",H$4=Model_Lists!$A$4),H$2,"")</f>
        <v xml:space="preserve">🌵 </v>
      </c>
      <c r="X28" t="str">
        <f>IF(AND(I28="Yes",I$4=Model_Lists!$A$4),I$2,"")</f>
        <v>🌡</v>
      </c>
      <c r="Y28" t="str">
        <f>IF(AND(J28="Yes",J$4=Model_Lists!$A$4),J$2,"")</f>
        <v>☀️</v>
      </c>
    </row>
    <row r="29" spans="2:25">
      <c r="B29" t="s">
        <v>19</v>
      </c>
      <c r="C29" s="2" t="s">
        <v>5</v>
      </c>
      <c r="D29" s="2" t="s">
        <v>5</v>
      </c>
      <c r="E29" s="2" t="s">
        <v>5</v>
      </c>
      <c r="F29" s="2" t="s">
        <v>5</v>
      </c>
      <c r="G29" s="2" t="s">
        <v>5</v>
      </c>
      <c r="H29" s="2" t="s">
        <v>5</v>
      </c>
      <c r="I29" s="2" t="s">
        <v>5</v>
      </c>
      <c r="J29" s="2" t="s">
        <v>5</v>
      </c>
      <c r="K29" s="2" t="b">
        <f>'4. Design features'!F43=INDEX(RatingOptionSelect,2)</f>
        <v>1</v>
      </c>
      <c r="L29" s="2" t="str">
        <f>IF('4. Design features'!G43=0,"",'4. Design features'!G43)</f>
        <v>Waste is held in the tank until it dries out if the ST stops operating which does not pose a continual health risk</v>
      </c>
      <c r="M29" s="2" t="b">
        <f>ISBLANK('4. Design features'!I43)=FALSE</f>
        <v>1</v>
      </c>
      <c r="N29" s="2" t="str">
        <f>IF('4. Design features'!H43=0,"",'4. Design features'!H43)</f>
        <v/>
      </c>
      <c r="O29" s="2" t="str">
        <f>IF('4. Design features'!I43=0,"",'4. Design features'!I43)</f>
        <v>Could consider HDPE linings around the outside of the ABR to limit public health risks in the event of leakage/damage.</v>
      </c>
      <c r="P29" t="s">
        <v>272</v>
      </c>
      <c r="Q29" t="str">
        <f t="shared" si="0"/>
        <v>💦 🌧 🌊🔥💨🌵 🌡☀️</v>
      </c>
      <c r="R29" t="str">
        <f>IF(AND(C29="Yes",C$4=Model_Lists!$A$4),C$2,"")</f>
        <v xml:space="preserve">💦 </v>
      </c>
      <c r="S29" t="str">
        <f>IF(AND(D29="Yes",D$4=Model_Lists!$A$4),D$2,"")</f>
        <v xml:space="preserve">🌧 </v>
      </c>
      <c r="T29" t="str">
        <f>IF(AND(E29="Yes",E$4=Model_Lists!$A$4),E$2,"")</f>
        <v>🌊</v>
      </c>
      <c r="U29" t="str">
        <f>IF(AND(F29="Yes",F$4=Model_Lists!$A$4),F$2,"")</f>
        <v>🔥</v>
      </c>
      <c r="V29" t="str">
        <f>IF(AND(G29="Yes",G$4=Model_Lists!$A$4),G$2,"")</f>
        <v>💨</v>
      </c>
      <c r="W29" t="str">
        <f>IF(AND(H29="Yes",H$4=Model_Lists!$A$4),H$2,"")</f>
        <v xml:space="preserve">🌵 </v>
      </c>
      <c r="X29" t="str">
        <f>IF(AND(I29="Yes",I$4=Model_Lists!$A$4),I$2,"")</f>
        <v>🌡</v>
      </c>
      <c r="Y29" t="str">
        <f>IF(AND(J29="Yes",J$4=Model_Lists!$A$4),J$2,"")</f>
        <v>☀️</v>
      </c>
    </row>
    <row r="30" spans="2:25">
      <c r="B30" s="1" t="s">
        <v>15</v>
      </c>
      <c r="C30" s="1" t="s">
        <v>20</v>
      </c>
      <c r="D30" s="1" t="s">
        <v>20</v>
      </c>
      <c r="E30" s="1" t="s">
        <v>20</v>
      </c>
      <c r="F30" s="1" t="s">
        <v>20</v>
      </c>
      <c r="G30" s="1" t="s">
        <v>20</v>
      </c>
      <c r="H30" s="1" t="s">
        <v>20</v>
      </c>
      <c r="I30" s="1" t="s">
        <v>20</v>
      </c>
      <c r="J30" s="1" t="s">
        <v>20</v>
      </c>
      <c r="K30" s="2" t="b">
        <f>'4. Design features'!F44=INDEX(RatingOptionSelect,2)</f>
        <v>0</v>
      </c>
      <c r="L30" s="2" t="str">
        <f>IF('4. Design features'!G44=0,"",'4. Design features'!G44)</f>
        <v/>
      </c>
      <c r="M30" s="2" t="b">
        <f>ISBLANK('4. Design features'!I44)=FALSE</f>
        <v>0</v>
      </c>
      <c r="N30" s="2" t="str">
        <f>IF('4. Design features'!H44=0,"",'4. Design features'!H44)</f>
        <v/>
      </c>
      <c r="O30" s="2" t="str">
        <f>IF('4. Design features'!I44=0,"",'4. Design features'!I44)</f>
        <v/>
      </c>
      <c r="Q30" t="str">
        <f t="shared" si="0"/>
        <v/>
      </c>
      <c r="R30" t="str">
        <f>IF(AND(C30="Yes",C$4=Model_Lists!$A$4),C$2,"")</f>
        <v/>
      </c>
      <c r="S30" t="str">
        <f>IF(AND(D30="Yes",D$4=Model_Lists!$A$4),D$2,"")</f>
        <v/>
      </c>
      <c r="T30" t="str">
        <f>IF(AND(E30="Yes",E$4=Model_Lists!$A$4),E$2,"")</f>
        <v/>
      </c>
      <c r="U30" t="str">
        <f>IF(AND(F30="Yes",F$4=Model_Lists!$A$4),F$2,"")</f>
        <v/>
      </c>
      <c r="V30" t="str">
        <f>IF(AND(G30="Yes",G$4=Model_Lists!$A$4),G$2,"")</f>
        <v/>
      </c>
      <c r="W30" t="str">
        <f>IF(AND(H30="Yes",H$4=Model_Lists!$A$4),H$2,"")</f>
        <v/>
      </c>
      <c r="X30" t="str">
        <f>IF(AND(I30="Yes",I$4=Model_Lists!$A$4),I$2,"")</f>
        <v/>
      </c>
      <c r="Y30" t="str">
        <f>IF(AND(J30="Yes",J$4=Model_Lists!$A$4),J$2,"")</f>
        <v/>
      </c>
    </row>
    <row r="31" spans="2:25">
      <c r="B31" t="s">
        <v>16</v>
      </c>
      <c r="C31" s="2" t="s">
        <v>5</v>
      </c>
      <c r="D31" s="2" t="s">
        <v>5</v>
      </c>
      <c r="E31" s="2" t="s">
        <v>5</v>
      </c>
      <c r="F31" s="2" t="s">
        <v>5</v>
      </c>
      <c r="G31" s="2" t="s">
        <v>5</v>
      </c>
      <c r="H31" s="2" t="s">
        <v>5</v>
      </c>
      <c r="I31" s="2" t="s">
        <v>5</v>
      </c>
      <c r="J31" s="2" t="s">
        <v>5</v>
      </c>
      <c r="K31" s="2" t="b">
        <f>'4. Design features'!F45=INDEX(RatingOptionSelect,2)</f>
        <v>1</v>
      </c>
      <c r="L31" s="2" t="str">
        <f>IF('4. Design features'!G45=0,"",'4. Design features'!G45)</f>
        <v xml:space="preserve">Locally available materials
Simple construction. If the ABR is physically damaged, it is likely that repairs could be done by local labour using local materials. </v>
      </c>
      <c r="M31" s="2" t="b">
        <f>ISBLANK('4. Design features'!I45)=FALSE</f>
        <v>0</v>
      </c>
      <c r="N31" s="2" t="str">
        <f>IF('4. Design features'!H45=0,"",'4. Design features'!H45)</f>
        <v/>
      </c>
      <c r="O31" s="2" t="str">
        <f>IF('4. Design features'!I45=0,"",'4. Design features'!I45)</f>
        <v/>
      </c>
      <c r="P31" t="s">
        <v>273</v>
      </c>
      <c r="Q31" t="str">
        <f t="shared" si="0"/>
        <v>💦 🌧 🌊🔥💨🌵 🌡☀️</v>
      </c>
      <c r="R31" t="str">
        <f>IF(AND(C31="Yes",C$4=Model_Lists!$A$4),C$2,"")</f>
        <v xml:space="preserve">💦 </v>
      </c>
      <c r="S31" t="str">
        <f>IF(AND(D31="Yes",D$4=Model_Lists!$A$4),D$2,"")</f>
        <v xml:space="preserve">🌧 </v>
      </c>
      <c r="T31" t="str">
        <f>IF(AND(E31="Yes",E$4=Model_Lists!$A$4),E$2,"")</f>
        <v>🌊</v>
      </c>
      <c r="U31" t="str">
        <f>IF(AND(F31="Yes",F$4=Model_Lists!$A$4),F$2,"")</f>
        <v>🔥</v>
      </c>
      <c r="V31" t="str">
        <f>IF(AND(G31="Yes",G$4=Model_Lists!$A$4),G$2,"")</f>
        <v>💨</v>
      </c>
      <c r="W31" t="str">
        <f>IF(AND(H31="Yes",H$4=Model_Lists!$A$4),H$2,"")</f>
        <v xml:space="preserve">🌵 </v>
      </c>
      <c r="X31" t="str">
        <f>IF(AND(I31="Yes",I$4=Model_Lists!$A$4),I$2,"")</f>
        <v>🌡</v>
      </c>
      <c r="Y31" t="str">
        <f>IF(AND(J31="Yes",J$4=Model_Lists!$A$4),J$2,"")</f>
        <v>☀️</v>
      </c>
    </row>
    <row r="32" spans="2:25">
      <c r="B32" t="s">
        <v>53</v>
      </c>
      <c r="C32" s="2" t="s">
        <v>5</v>
      </c>
      <c r="D32" s="2" t="s">
        <v>5</v>
      </c>
      <c r="E32" s="2" t="s">
        <v>5</v>
      </c>
      <c r="F32" s="2" t="s">
        <v>5</v>
      </c>
      <c r="G32" s="2" t="s">
        <v>5</v>
      </c>
      <c r="H32" s="2" t="s">
        <v>5</v>
      </c>
      <c r="I32" s="2" t="s">
        <v>5</v>
      </c>
      <c r="J32" s="2" t="s">
        <v>5</v>
      </c>
      <c r="K32" s="2" t="b">
        <f>'4. Design features'!F46=INDEX(RatingOptionSelect,2)</f>
        <v>1</v>
      </c>
      <c r="L32" s="2" t="str">
        <f>IF('4. Design features'!G46=0,"",'4. Design features'!G46)</f>
        <v xml:space="preserve">Access hatch for repairs. The chambers can be easily accessed for repairs from the ground.  </v>
      </c>
      <c r="M32" s="2" t="b">
        <f>ISBLANK('4. Design features'!I46)=FALSE</f>
        <v>1</v>
      </c>
      <c r="N32" s="2" t="str">
        <f>IF('4. Design features'!H46=0,"",'4. Design features'!H46)</f>
        <v>Access to some chambers may be difficult if full of sludge or water. This will also present a health risk to those doing repairs. There is also no way to shut off continued use during repairs.</v>
      </c>
      <c r="O32" s="2" t="str">
        <f>IF('4. Design features'!I46=0,"",'4. Design features'!I46)</f>
        <v>Introduce shut off valve and ways to shut off toilets that feed into the ABR as needed. As noted earlier, the ability to bypass certain chamers would also help in repairing one chamber while others continue to function. A 'repair' procedure and required tools/equipment should be provided with each ABR, and ideally ABRs should only be installed where trained personnel are available to conduct repairs safely.</v>
      </c>
      <c r="P32" t="s">
        <v>274</v>
      </c>
      <c r="Q32" t="str">
        <f t="shared" si="0"/>
        <v>💦 🌧 🌊🔥💨🌵 🌡☀️</v>
      </c>
      <c r="R32" t="str">
        <f>IF(AND(C32="Yes",C$4=Model_Lists!$A$4),C$2,"")</f>
        <v xml:space="preserve">💦 </v>
      </c>
      <c r="S32" t="str">
        <f>IF(AND(D32="Yes",D$4=Model_Lists!$A$4),D$2,"")</f>
        <v xml:space="preserve">🌧 </v>
      </c>
      <c r="T32" t="str">
        <f>IF(AND(E32="Yes",E$4=Model_Lists!$A$4),E$2,"")</f>
        <v>🌊</v>
      </c>
      <c r="U32" t="str">
        <f>IF(AND(F32="Yes",F$4=Model_Lists!$A$4),F$2,"")</f>
        <v>🔥</v>
      </c>
      <c r="V32" t="str">
        <f>IF(AND(G32="Yes",G$4=Model_Lists!$A$4),G$2,"")</f>
        <v>💨</v>
      </c>
      <c r="W32" t="str">
        <f>IF(AND(H32="Yes",H$4=Model_Lists!$A$4),H$2,"")</f>
        <v xml:space="preserve">🌵 </v>
      </c>
      <c r="X32" t="str">
        <f>IF(AND(I32="Yes",I$4=Model_Lists!$A$4),I$2,"")</f>
        <v>🌡</v>
      </c>
      <c r="Y32" t="str">
        <f>IF(AND(J32="Yes",J$4=Model_Lists!$A$4),J$2,"")</f>
        <v>☀️</v>
      </c>
    </row>
    <row r="33" spans="2:25">
      <c r="B33" s="1" t="s">
        <v>275</v>
      </c>
      <c r="C33" s="1" t="s">
        <v>20</v>
      </c>
      <c r="D33" s="1" t="s">
        <v>20</v>
      </c>
      <c r="E33" s="1" t="s">
        <v>20</v>
      </c>
      <c r="F33" s="1" t="s">
        <v>20</v>
      </c>
      <c r="G33" s="1" t="s">
        <v>20</v>
      </c>
      <c r="H33" s="1" t="s">
        <v>20</v>
      </c>
      <c r="I33" s="1" t="s">
        <v>20</v>
      </c>
      <c r="J33" s="1" t="s">
        <v>20</v>
      </c>
      <c r="K33" s="2" t="b">
        <f>'4. Design features'!F47=INDEX(RatingOptionSelect,2)</f>
        <v>0</v>
      </c>
      <c r="L33" s="2" t="str">
        <f>IF('4. Design features'!G47=0,"",'4. Design features'!G47)</f>
        <v/>
      </c>
      <c r="M33" s="2" t="b">
        <f>ISBLANK('4. Design features'!I47)=FALSE</f>
        <v>0</v>
      </c>
      <c r="N33" s="2" t="str">
        <f>IF('4. Design features'!H47=0,"",'4. Design features'!H47)</f>
        <v/>
      </c>
      <c r="O33" s="2" t="str">
        <f>IF('4. Design features'!I47=0,"",'4. Design features'!I47)</f>
        <v/>
      </c>
      <c r="Q33" t="str">
        <f t="shared" ref="Q33:Q36" si="1">_xlfn.CONCAT(R33:Y33)</f>
        <v/>
      </c>
      <c r="R33" t="str">
        <f t="shared" ref="R33:R36" si="2">IF(C33="Yes",C$2,"")</f>
        <v/>
      </c>
      <c r="S33" t="str">
        <f t="shared" ref="S33:S36" si="3">IF(D33="Yes",D$2,"")</f>
        <v/>
      </c>
      <c r="T33" t="str">
        <f t="shared" ref="T33:T36" si="4">IF(E33="Yes",E$2,"")</f>
        <v/>
      </c>
      <c r="U33" t="str">
        <f t="shared" ref="U33:U36" si="5">IF(F33="Yes",F$2,"")</f>
        <v/>
      </c>
      <c r="V33" t="str">
        <f t="shared" ref="V33:V36" si="6">IF(G33="Yes",G$2,"")</f>
        <v/>
      </c>
      <c r="W33" t="str">
        <f t="shared" ref="W33:W36" si="7">IF(H33="Yes",H$2,"")</f>
        <v/>
      </c>
      <c r="X33" t="str">
        <f t="shared" ref="X33:X36" si="8">IF(I33="Yes",I$2,"")</f>
        <v/>
      </c>
      <c r="Y33" t="str">
        <f t="shared" ref="Y33:Y36" si="9">IF(J33="Yes",J$2,"")</f>
        <v/>
      </c>
    </row>
    <row r="34" spans="2:25">
      <c r="B34" t="s">
        <v>130</v>
      </c>
      <c r="C34" s="2" t="s">
        <v>4</v>
      </c>
      <c r="D34" s="2" t="s">
        <v>4</v>
      </c>
      <c r="E34" s="2" t="s">
        <v>4</v>
      </c>
      <c r="F34" s="2" t="s">
        <v>4</v>
      </c>
      <c r="G34" s="2" t="s">
        <v>4</v>
      </c>
      <c r="H34" s="2" t="s">
        <v>4</v>
      </c>
      <c r="I34" s="2" t="s">
        <v>4</v>
      </c>
      <c r="J34" s="2" t="s">
        <v>4</v>
      </c>
      <c r="K34" s="2" t="b">
        <f>'4. Design features'!F48=INDEX(RatingOptionSelect,2)</f>
        <v>0</v>
      </c>
      <c r="L34" s="2" t="str">
        <f>IF('4. Design features'!G48=0,"",'4. Design features'!G48)</f>
        <v/>
      </c>
      <c r="M34" s="2" t="b">
        <f>ISBLANK('4. Design features'!I48)=FALSE</f>
        <v>1</v>
      </c>
      <c r="N34" s="2" t="str">
        <f>IF('4. Design features'!H48=0,"",'4. Design features'!H48)</f>
        <v/>
      </c>
      <c r="O34" s="2" t="str">
        <f>IF('4. Design features'!I48=0,"",'4. Design features'!I48)</f>
        <v>If a soak pit or leach field was incorporated into the design, it could incorporate plantings to provide other functionality (e.g. animal feed), assuming it could be done without public health risk.</v>
      </c>
      <c r="P34" t="s">
        <v>276</v>
      </c>
      <c r="Q34" t="str">
        <f t="shared" si="1"/>
        <v/>
      </c>
      <c r="R34" t="str">
        <f t="shared" si="2"/>
        <v/>
      </c>
      <c r="S34" t="str">
        <f t="shared" si="3"/>
        <v/>
      </c>
      <c r="T34" t="str">
        <f t="shared" si="4"/>
        <v/>
      </c>
      <c r="U34" t="str">
        <f t="shared" si="5"/>
        <v/>
      </c>
      <c r="V34" t="str">
        <f t="shared" si="6"/>
        <v/>
      </c>
      <c r="W34" t="str">
        <f t="shared" si="7"/>
        <v/>
      </c>
      <c r="X34" t="str">
        <f t="shared" si="8"/>
        <v/>
      </c>
      <c r="Y34" t="str">
        <f t="shared" si="9"/>
        <v/>
      </c>
    </row>
    <row r="35" spans="2:25">
      <c r="B35" t="s">
        <v>131</v>
      </c>
      <c r="C35" s="2" t="s">
        <v>4</v>
      </c>
      <c r="D35" s="2" t="s">
        <v>4</v>
      </c>
      <c r="E35" s="2" t="s">
        <v>4</v>
      </c>
      <c r="F35" s="2" t="s">
        <v>4</v>
      </c>
      <c r="G35" s="2" t="s">
        <v>4</v>
      </c>
      <c r="H35" s="2" t="s">
        <v>4</v>
      </c>
      <c r="I35" s="2" t="s">
        <v>4</v>
      </c>
      <c r="J35" s="2" t="s">
        <v>4</v>
      </c>
      <c r="K35" s="2" t="b">
        <f>'4. Design features'!F49=INDEX(RatingOptionSelect,2)</f>
        <v>1</v>
      </c>
      <c r="L35" s="2" t="str">
        <f>IF('4. Design features'!G49=0,"",'4. Design features'!G49)</f>
        <v>Surface can be used as a road/hard surface</v>
      </c>
      <c r="M35" s="2" t="b">
        <f>ISBLANK('4. Design features'!I49)=FALSE</f>
        <v>0</v>
      </c>
      <c r="N35" s="2" t="str">
        <f>IF('4. Design features'!H49=0,"",'4. Design features'!H49)</f>
        <v/>
      </c>
      <c r="O35" s="2" t="str">
        <f>IF('4. Design features'!I49=0,"",'4. Design features'!I49)</f>
        <v/>
      </c>
      <c r="P35" t="s">
        <v>277</v>
      </c>
      <c r="Q35" t="str">
        <f t="shared" si="1"/>
        <v/>
      </c>
      <c r="R35" t="str">
        <f t="shared" si="2"/>
        <v/>
      </c>
      <c r="S35" t="str">
        <f t="shared" si="3"/>
        <v/>
      </c>
      <c r="T35" t="str">
        <f t="shared" si="4"/>
        <v/>
      </c>
      <c r="U35" t="str">
        <f t="shared" si="5"/>
        <v/>
      </c>
      <c r="V35" t="str">
        <f t="shared" si="6"/>
        <v/>
      </c>
      <c r="W35" t="str">
        <f t="shared" si="7"/>
        <v/>
      </c>
      <c r="X35" t="str">
        <f t="shared" si="8"/>
        <v/>
      </c>
      <c r="Y35" t="str">
        <f t="shared" si="9"/>
        <v/>
      </c>
    </row>
    <row r="36" spans="2:25">
      <c r="B36" t="s">
        <v>132</v>
      </c>
      <c r="C36" s="2" t="s">
        <v>4</v>
      </c>
      <c r="D36" s="2" t="s">
        <v>4</v>
      </c>
      <c r="E36" s="2" t="s">
        <v>4</v>
      </c>
      <c r="F36" s="2" t="s">
        <v>4</v>
      </c>
      <c r="G36" s="2" t="s">
        <v>4</v>
      </c>
      <c r="H36" s="2" t="s">
        <v>4</v>
      </c>
      <c r="I36" s="2" t="s">
        <v>4</v>
      </c>
      <c r="J36" s="2" t="s">
        <v>4</v>
      </c>
      <c r="K36" s="2" t="b">
        <f>'4. Design features'!F50=INDEX(RatingOptionSelect,2)</f>
        <v>0</v>
      </c>
      <c r="L36" s="2" t="str">
        <f>IF('4. Design features'!G50=0,"",'4. Design features'!G50)</f>
        <v/>
      </c>
      <c r="M36" s="2" t="b">
        <f>ISBLANK('4. Design features'!I50)=FALSE</f>
        <v>0</v>
      </c>
      <c r="N36" s="2" t="str">
        <f>IF('4. Design features'!H50=0,"",'4. Design features'!H50)</f>
        <v/>
      </c>
      <c r="O36" s="2" t="str">
        <f>IF('4. Design features'!I50=0,"",'4. Design features'!I50)</f>
        <v/>
      </c>
      <c r="P36" t="s">
        <v>278</v>
      </c>
      <c r="Q36" t="str">
        <f t="shared" si="1"/>
        <v/>
      </c>
      <c r="R36" t="str">
        <f t="shared" si="2"/>
        <v/>
      </c>
      <c r="S36" t="str">
        <f t="shared" si="3"/>
        <v/>
      </c>
      <c r="T36" t="str">
        <f t="shared" si="4"/>
        <v/>
      </c>
      <c r="U36" t="str">
        <f t="shared" si="5"/>
        <v/>
      </c>
      <c r="V36" t="str">
        <f t="shared" si="6"/>
        <v/>
      </c>
      <c r="W36" t="str">
        <f t="shared" si="7"/>
        <v/>
      </c>
      <c r="X36" t="str">
        <f t="shared" si="8"/>
        <v/>
      </c>
      <c r="Y36" t="str">
        <f t="shared" si="9"/>
        <v/>
      </c>
    </row>
    <row r="37" spans="2:25">
      <c r="B37" s="1"/>
      <c r="C37" s="1"/>
      <c r="D37" s="1"/>
      <c r="E37" s="1"/>
      <c r="F37" s="1"/>
      <c r="G37" s="1"/>
      <c r="H37" s="1"/>
      <c r="I37" s="1"/>
      <c r="J37" s="1"/>
      <c r="K37" s="1"/>
      <c r="L37" s="1"/>
      <c r="M37" s="1"/>
      <c r="N37" s="1"/>
      <c r="O37" s="1"/>
    </row>
    <row r="38" spans="2:25">
      <c r="B38" s="1"/>
      <c r="C38" s="1"/>
      <c r="D38" s="1"/>
      <c r="E38" s="1"/>
      <c r="F38" s="1"/>
      <c r="G38" s="1"/>
      <c r="H38" s="1"/>
      <c r="I38" s="1"/>
      <c r="J38" s="1"/>
      <c r="K38" s="1"/>
      <c r="L38" s="1"/>
      <c r="M38" s="1"/>
      <c r="N38" s="1"/>
      <c r="O38" s="1"/>
    </row>
    <row r="39" spans="2:25">
      <c r="C39" s="2"/>
      <c r="D39" s="2"/>
      <c r="E39" s="2"/>
      <c r="F39" s="2"/>
      <c r="G39" s="2"/>
      <c r="H39" s="2"/>
      <c r="I39" s="2"/>
      <c r="J39" s="2"/>
      <c r="K39" s="2"/>
      <c r="L39" s="2"/>
      <c r="M39" s="2"/>
      <c r="N39" s="2"/>
      <c r="O39" s="2"/>
    </row>
    <row r="40" spans="2:25">
      <c r="C40" s="2"/>
      <c r="D40" s="2"/>
      <c r="E40" s="2"/>
      <c r="F40" s="2"/>
      <c r="G40" s="2"/>
      <c r="H40" s="2"/>
      <c r="I40" s="2"/>
      <c r="J40" s="2"/>
      <c r="K40" s="2"/>
      <c r="L40" s="2"/>
      <c r="M40" s="2"/>
      <c r="N40" s="2"/>
      <c r="O40" s="2"/>
    </row>
    <row r="41" spans="2:25">
      <c r="C41" s="2"/>
      <c r="D41" s="2"/>
      <c r="E41" s="2"/>
      <c r="F41" s="2"/>
      <c r="G41" s="2"/>
      <c r="H41" s="2"/>
      <c r="I41" s="2"/>
      <c r="J41" s="2"/>
      <c r="K41" s="2"/>
      <c r="L41" s="2"/>
      <c r="M41" s="2"/>
      <c r="N41" s="2"/>
      <c r="O41" s="2"/>
    </row>
  </sheetData>
  <customSheetViews>
    <customSheetView guid="{2AB498D9-D32A-4EB2-B4F2-37A196616A87}" state="hidden">
      <selection activeCell="E13" sqref="E13"/>
      <pageMargins left="0.7" right="0.7" top="0.75" bottom="0.75" header="0.3" footer="0.3"/>
    </customSheetView>
  </customSheetViews>
  <conditionalFormatting sqref="K2:O2">
    <cfRule type="expression" dxfId="0" priority="1">
      <formula>$E2="⛔️ No"</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AA48"/>
  <sheetViews>
    <sheetView zoomScale="90" zoomScaleNormal="90" workbookViewId="0">
      <selection activeCell="T1" sqref="T1"/>
    </sheetView>
  </sheetViews>
  <sheetFormatPr baseColWidth="10" defaultColWidth="8.83203125" defaultRowHeight="14"/>
  <cols>
    <col min="2" max="2" width="80.6640625" customWidth="1"/>
    <col min="11" max="11" width="13.6640625" customWidth="1"/>
    <col min="14" max="14" width="9.83203125" customWidth="1"/>
    <col min="15" max="15" width="9.33203125" customWidth="1"/>
    <col min="16" max="16" width="10.33203125" customWidth="1"/>
    <col min="17" max="18" width="9.33203125" customWidth="1"/>
    <col min="19" max="19" width="68.6640625" customWidth="1"/>
  </cols>
  <sheetData>
    <row r="1" spans="1:27">
      <c r="A1" t="s">
        <v>99</v>
      </c>
      <c r="B1" s="15" t="s">
        <v>50</v>
      </c>
      <c r="C1" s="15" t="s">
        <v>287</v>
      </c>
      <c r="D1" s="15" t="s">
        <v>288</v>
      </c>
      <c r="E1" s="15" t="s">
        <v>216</v>
      </c>
      <c r="F1" s="15" t="s">
        <v>190</v>
      </c>
      <c r="G1" s="15" t="s">
        <v>215</v>
      </c>
      <c r="H1" s="15" t="s">
        <v>289</v>
      </c>
      <c r="I1" s="15" t="s">
        <v>192</v>
      </c>
      <c r="J1" s="15" t="s">
        <v>213</v>
      </c>
      <c r="K1" s="15" t="s">
        <v>145</v>
      </c>
      <c r="L1" s="15" t="s">
        <v>147</v>
      </c>
      <c r="M1" s="15"/>
      <c r="N1" s="15" t="s">
        <v>154</v>
      </c>
      <c r="O1" s="15" t="s">
        <v>168</v>
      </c>
      <c r="P1" s="15" t="s">
        <v>169</v>
      </c>
      <c r="Q1" s="15" t="s">
        <v>170</v>
      </c>
      <c r="R1" s="15" t="s">
        <v>153</v>
      </c>
      <c r="S1" s="15" t="s">
        <v>149</v>
      </c>
      <c r="T1" s="15" t="s">
        <v>287</v>
      </c>
      <c r="U1" s="15" t="s">
        <v>288</v>
      </c>
      <c r="V1" s="15" t="s">
        <v>216</v>
      </c>
      <c r="W1" s="15" t="s">
        <v>190</v>
      </c>
      <c r="X1" s="15" t="s">
        <v>215</v>
      </c>
      <c r="Y1" s="15" t="s">
        <v>289</v>
      </c>
      <c r="Z1" s="15" t="s">
        <v>192</v>
      </c>
      <c r="AA1" s="15" t="s">
        <v>213</v>
      </c>
    </row>
    <row r="2" spans="1:27">
      <c r="A2" t="s">
        <v>100</v>
      </c>
      <c r="B2" t="s">
        <v>159</v>
      </c>
      <c r="C2">
        <v>1</v>
      </c>
      <c r="D2">
        <v>0</v>
      </c>
      <c r="E2">
        <v>0</v>
      </c>
      <c r="F2">
        <v>0</v>
      </c>
      <c r="G2">
        <v>0</v>
      </c>
      <c r="H2">
        <v>0</v>
      </c>
      <c r="I2">
        <v>0</v>
      </c>
      <c r="J2">
        <v>0</v>
      </c>
      <c r="K2" t="str">
        <f>'3. Hazards'!F21</f>
        <v>⛔️ No</v>
      </c>
      <c r="L2">
        <f t="shared" ref="L2:L26" si="0">SUM(C2:J2)</f>
        <v>1</v>
      </c>
      <c r="M2">
        <f>'3. Hazards'!$G21</f>
        <v>0</v>
      </c>
      <c r="N2" t="str">
        <f>IF(M2=0,"-",M2)</f>
        <v>-</v>
      </c>
      <c r="O2" t="b">
        <f>'3. Hazards'!$G21=O$1</f>
        <v>0</v>
      </c>
      <c r="P2" t="b">
        <f>'3. Hazards'!$G21=P$1</f>
        <v>0</v>
      </c>
      <c r="Q2" t="b">
        <f>'3. Hazards'!$G21=Q$1</f>
        <v>0</v>
      </c>
      <c r="R2" t="str">
        <f>IF(ISBLANK('3. Hazards'!H21),"",'3. Hazards'!H21)</f>
        <v/>
      </c>
      <c r="S2" t="str">
        <f>_xlfn.CONCAT(T2:AA2)</f>
        <v>💦</v>
      </c>
      <c r="T2" t="str">
        <f>IF(AND(C2=1,DF_Calc!C$4=Model_Lists!$A$4),C$1,"")</f>
        <v>💦</v>
      </c>
      <c r="U2" t="str">
        <f>IF(AND(D2=1,DF_Calc!D$4=Model_Lists!$A$4),D$1,"")</f>
        <v/>
      </c>
      <c r="V2" t="str">
        <f>IF(AND(E2=1,DF_Calc!E$4=Model_Lists!$A$4),E$1,"")</f>
        <v/>
      </c>
      <c r="W2" t="str">
        <f>IF(AND(F2=1,DF_Calc!F$4=Model_Lists!$A$4),F$1,"")</f>
        <v/>
      </c>
      <c r="X2" t="str">
        <f>IF(AND(G2=1,DF_Calc!G$4=Model_Lists!$A$4),G$1,"")</f>
        <v/>
      </c>
      <c r="Y2" t="str">
        <f>IF(AND(H2=1,DF_Calc!H$4=Model_Lists!$A$4),H$1,"")</f>
        <v/>
      </c>
      <c r="Z2" t="str">
        <f>IF(AND(I2=1,DF_Calc!I$4=Model_Lists!$A$4),I$1,"")</f>
        <v/>
      </c>
      <c r="AA2" t="str">
        <f>IF(AND(J2=1,DF_Calc!J$4=Model_Lists!$A$4),J$1,"")</f>
        <v/>
      </c>
    </row>
    <row r="3" spans="1:27">
      <c r="A3" t="s">
        <v>103</v>
      </c>
      <c r="B3" t="s">
        <v>90</v>
      </c>
      <c r="C3">
        <v>0</v>
      </c>
      <c r="D3">
        <v>0</v>
      </c>
      <c r="E3">
        <v>1</v>
      </c>
      <c r="F3">
        <v>0</v>
      </c>
      <c r="G3">
        <v>0</v>
      </c>
      <c r="H3">
        <v>1</v>
      </c>
      <c r="I3">
        <v>0</v>
      </c>
      <c r="J3">
        <v>0</v>
      </c>
      <c r="K3" t="str">
        <f>'3. Hazards'!F22</f>
        <v>✅ Yes</v>
      </c>
      <c r="L3">
        <f t="shared" si="0"/>
        <v>2</v>
      </c>
      <c r="M3" t="str">
        <f>'3. Hazards'!$G22</f>
        <v>Moderate Impact</v>
      </c>
      <c r="N3" t="str">
        <f t="shared" ref="N3:N26" si="1">IF(M3=0,"-",M3)</f>
        <v>Moderate Impact</v>
      </c>
      <c r="O3" t="b">
        <f>'3. Hazards'!$G22=O$1</f>
        <v>0</v>
      </c>
      <c r="P3" t="b">
        <f>'3. Hazards'!$G22=P$1</f>
        <v>1</v>
      </c>
      <c r="Q3" t="b">
        <f>'3. Hazards'!$G22=Q$1</f>
        <v>0</v>
      </c>
      <c r="R3" t="str">
        <f>IF(ISBLANK('3. Hazards'!H22),"",'3. Hazards'!H22)</f>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c r="S3" t="str">
        <f t="shared" ref="S3:S30" si="2">_xlfn.CONCAT(T3:AA3)</f>
        <v>🌊🌵</v>
      </c>
      <c r="T3" t="str">
        <f>IF(AND(C3=1,DF_Calc!C$4=Model_Lists!$A$4),C$1,"")</f>
        <v/>
      </c>
      <c r="U3" t="str">
        <f>IF(AND(D3=1,DF_Calc!D$4=Model_Lists!$A$4),D$1,"")</f>
        <v/>
      </c>
      <c r="V3" t="str">
        <f>IF(AND(E3=1,DF_Calc!E$4=Model_Lists!$A$4),E$1,"")</f>
        <v>🌊</v>
      </c>
      <c r="W3" t="str">
        <f>IF(AND(F3=1,DF_Calc!F$4=Model_Lists!$A$4),F$1,"")</f>
        <v/>
      </c>
      <c r="X3" t="str">
        <f>IF(AND(G3=1,DF_Calc!G$4=Model_Lists!$A$4),G$1,"")</f>
        <v/>
      </c>
      <c r="Y3" t="str">
        <f>IF(AND(H3=1,DF_Calc!H$4=Model_Lists!$A$4),H$1,"")</f>
        <v>🌵</v>
      </c>
      <c r="Z3" t="str">
        <f>IF(AND(I3=1,DF_Calc!I$4=Model_Lists!$A$4),I$1,"")</f>
        <v/>
      </c>
      <c r="AA3" t="str">
        <f>IF(AND(J3=1,DF_Calc!J$4=Model_Lists!$A$4),J$1,"")</f>
        <v/>
      </c>
    </row>
    <row r="4" spans="1:27">
      <c r="A4" t="s">
        <v>104</v>
      </c>
      <c r="B4" t="s">
        <v>3</v>
      </c>
      <c r="C4">
        <v>1</v>
      </c>
      <c r="D4">
        <v>0</v>
      </c>
      <c r="E4">
        <v>1</v>
      </c>
      <c r="F4">
        <v>0</v>
      </c>
      <c r="G4">
        <v>0</v>
      </c>
      <c r="H4">
        <v>0</v>
      </c>
      <c r="I4">
        <v>0</v>
      </c>
      <c r="J4">
        <v>0</v>
      </c>
      <c r="K4" t="str">
        <f>'3. Hazards'!F23</f>
        <v>✅ Yes</v>
      </c>
      <c r="L4">
        <f t="shared" si="0"/>
        <v>2</v>
      </c>
      <c r="M4" t="str">
        <f>'3. Hazards'!$G23</f>
        <v>Moderate Impact</v>
      </c>
      <c r="N4" t="str">
        <f t="shared" si="1"/>
        <v>Moderate Impact</v>
      </c>
      <c r="O4" t="b">
        <f>'3. Hazards'!$G23=O$1</f>
        <v>0</v>
      </c>
      <c r="P4" t="b">
        <f>'3. Hazards'!$G23=P$1</f>
        <v>1</v>
      </c>
      <c r="Q4" t="b">
        <f>'3. Hazards'!$G23=Q$1</f>
        <v>0</v>
      </c>
      <c r="R4" t="str">
        <f>IF(ISBLANK('3. Hazards'!H23),"",'3. Hazards'!H23)</f>
        <v>Salt water from coastal flooding could corrode the rebar in the ABR, weakening it over time. Corrosion will be difficult to observe as rebar is not exposed.</v>
      </c>
      <c r="S4" t="str">
        <f t="shared" si="2"/>
        <v>💦🌊</v>
      </c>
      <c r="T4" t="str">
        <f>IF(AND(C4=1,DF_Calc!C$4=Model_Lists!$A$4),C$1,"")</f>
        <v>💦</v>
      </c>
      <c r="U4" t="str">
        <f>IF(AND(D4=1,DF_Calc!D$4=Model_Lists!$A$4),D$1,"")</f>
        <v/>
      </c>
      <c r="V4" t="str">
        <f>IF(AND(E4=1,DF_Calc!E$4=Model_Lists!$A$4),E$1,"")</f>
        <v>🌊</v>
      </c>
      <c r="W4" t="str">
        <f>IF(AND(F4=1,DF_Calc!F$4=Model_Lists!$A$4),F$1,"")</f>
        <v/>
      </c>
      <c r="X4" t="str">
        <f>IF(AND(G4=1,DF_Calc!G$4=Model_Lists!$A$4),G$1,"")</f>
        <v/>
      </c>
      <c r="Y4" t="str">
        <f>IF(AND(H4=1,DF_Calc!H$4=Model_Lists!$A$4),H$1,"")</f>
        <v/>
      </c>
      <c r="Z4" t="str">
        <f>IF(AND(I4=1,DF_Calc!I$4=Model_Lists!$A$4),I$1,"")</f>
        <v/>
      </c>
      <c r="AA4" t="str">
        <f>IF(AND(J4=1,DF_Calc!J$4=Model_Lists!$A$4),J$1,"")</f>
        <v/>
      </c>
    </row>
    <row r="5" spans="1:27">
      <c r="A5" t="s">
        <v>105</v>
      </c>
      <c r="B5" t="s">
        <v>81</v>
      </c>
      <c r="C5">
        <v>0</v>
      </c>
      <c r="D5">
        <v>1</v>
      </c>
      <c r="E5">
        <v>1</v>
      </c>
      <c r="F5">
        <v>0</v>
      </c>
      <c r="G5">
        <v>0</v>
      </c>
      <c r="H5">
        <v>1</v>
      </c>
      <c r="I5">
        <v>1</v>
      </c>
      <c r="J5">
        <v>0</v>
      </c>
      <c r="K5" t="str">
        <f>'3. Hazards'!F24</f>
        <v>✅ Yes</v>
      </c>
      <c r="L5">
        <f t="shared" si="0"/>
        <v>4</v>
      </c>
      <c r="M5" t="str">
        <f>'3. Hazards'!$G24</f>
        <v>Low Impact</v>
      </c>
      <c r="N5" t="str">
        <f t="shared" si="1"/>
        <v>Low Impact</v>
      </c>
      <c r="O5" t="b">
        <f>'3. Hazards'!$G24=O$1</f>
        <v>1</v>
      </c>
      <c r="P5" t="b">
        <f>'3. Hazards'!$G24=P$1</f>
        <v>0</v>
      </c>
      <c r="Q5" t="b">
        <f>'3. Hazards'!$G24=Q$1</f>
        <v>0</v>
      </c>
      <c r="R5" t="str">
        <f>IF(ISBLANK('3. Hazards'!H24),"",'3. Hazards'!H24)</f>
        <v>The nature of this hazard depends on the reactivity of the soils. If the ABR is installed to specifications (with appropriate concrete mixes, i.e armoring and strengthening), this is unlikely to be an issue.</v>
      </c>
      <c r="S5" t="str">
        <f t="shared" si="2"/>
        <v>🌧🌊🌵🌡</v>
      </c>
      <c r="T5" t="str">
        <f>IF(AND(C5=1,DF_Calc!C$4=Model_Lists!$A$4),C$1,"")</f>
        <v/>
      </c>
      <c r="U5" t="str">
        <f>IF(AND(D5=1,DF_Calc!D$4=Model_Lists!$A$4),D$1,"")</f>
        <v>🌧</v>
      </c>
      <c r="V5" t="str">
        <f>IF(AND(E5=1,DF_Calc!E$4=Model_Lists!$A$4),E$1,"")</f>
        <v>🌊</v>
      </c>
      <c r="W5" t="str">
        <f>IF(AND(F5=1,DF_Calc!F$4=Model_Lists!$A$4),F$1,"")</f>
        <v/>
      </c>
      <c r="X5" t="str">
        <f>IF(AND(G5=1,DF_Calc!G$4=Model_Lists!$A$4),G$1,"")</f>
        <v/>
      </c>
      <c r="Y5" t="str">
        <f>IF(AND(H5=1,DF_Calc!H$4=Model_Lists!$A$4),H$1,"")</f>
        <v>🌵</v>
      </c>
      <c r="Z5" t="str">
        <f>IF(AND(I5=1,DF_Calc!I$4=Model_Lists!$A$4),I$1,"")</f>
        <v>🌡</v>
      </c>
      <c r="AA5" t="str">
        <f>IF(AND(J5=1,DF_Calc!J$4=Model_Lists!$A$4),J$1,"")</f>
        <v/>
      </c>
    </row>
    <row r="6" spans="1:27">
      <c r="A6" t="s">
        <v>106</v>
      </c>
      <c r="B6" t="s">
        <v>91</v>
      </c>
      <c r="C6">
        <v>0</v>
      </c>
      <c r="D6">
        <v>0</v>
      </c>
      <c r="E6">
        <v>0</v>
      </c>
      <c r="F6">
        <v>1</v>
      </c>
      <c r="G6">
        <v>0</v>
      </c>
      <c r="H6">
        <v>0</v>
      </c>
      <c r="I6">
        <v>0</v>
      </c>
      <c r="J6">
        <v>0</v>
      </c>
      <c r="K6" t="str">
        <f>'3. Hazards'!F25</f>
        <v>✅ Yes</v>
      </c>
      <c r="L6">
        <f t="shared" si="0"/>
        <v>1</v>
      </c>
      <c r="M6" t="str">
        <f>'3. Hazards'!$G25</f>
        <v>Low Impact</v>
      </c>
      <c r="N6" t="str">
        <f t="shared" si="1"/>
        <v>Low Impact</v>
      </c>
      <c r="O6" t="b">
        <f>'3. Hazards'!$G25=O$1</f>
        <v>1</v>
      </c>
      <c r="P6" t="b">
        <f>'3. Hazards'!$G25=P$1</f>
        <v>0</v>
      </c>
      <c r="Q6" t="b">
        <f>'3. Hazards'!$G25=Q$1</f>
        <v>0</v>
      </c>
      <c r="R6" t="str">
        <f>IF(ISBLANK('3. Hazards'!H25),"",'3. Hazards'!H25)</f>
        <v>The concrete construction (armoring and strengthening) means impact of flames would be minimal on the main ABR structure. Most of the pipes going to the ABR are buried. Those that are exposed are at risk of melting/failure. However the pipes are accessibile for rapid flaw detection and repair, and would be able to be repaired quickly in the case of a fire assuming parts were available.</v>
      </c>
      <c r="S6" t="str">
        <f t="shared" si="2"/>
        <v>🔥</v>
      </c>
      <c r="T6" t="str">
        <f>IF(AND(C6=1,DF_Calc!C$4=Model_Lists!$A$4),C$1,"")</f>
        <v/>
      </c>
      <c r="U6" t="str">
        <f>IF(AND(D6=1,DF_Calc!D$4=Model_Lists!$A$4),D$1,"")</f>
        <v/>
      </c>
      <c r="V6" t="str">
        <f>IF(AND(E6=1,DF_Calc!E$4=Model_Lists!$A$4),E$1,"")</f>
        <v/>
      </c>
      <c r="W6" t="str">
        <f>IF(AND(F6=1,DF_Calc!F$4=Model_Lists!$A$4),F$1,"")</f>
        <v>🔥</v>
      </c>
      <c r="X6" t="str">
        <f>IF(AND(G6=1,DF_Calc!G$4=Model_Lists!$A$4),G$1,"")</f>
        <v/>
      </c>
      <c r="Y6" t="str">
        <f>IF(AND(H6=1,DF_Calc!H$4=Model_Lists!$A$4),H$1,"")</f>
        <v/>
      </c>
      <c r="Z6" t="str">
        <f>IF(AND(I6=1,DF_Calc!I$4=Model_Lists!$A$4),I$1,"")</f>
        <v/>
      </c>
      <c r="AA6" t="str">
        <f>IF(AND(J6=1,DF_Calc!J$4=Model_Lists!$A$4),J$1,"")</f>
        <v/>
      </c>
    </row>
    <row r="7" spans="1:27">
      <c r="A7" t="s">
        <v>107</v>
      </c>
      <c r="B7" t="s">
        <v>92</v>
      </c>
      <c r="C7">
        <v>1</v>
      </c>
      <c r="D7">
        <v>0</v>
      </c>
      <c r="E7">
        <v>1</v>
      </c>
      <c r="F7">
        <v>0</v>
      </c>
      <c r="G7">
        <v>0</v>
      </c>
      <c r="H7">
        <v>0</v>
      </c>
      <c r="I7">
        <v>0</v>
      </c>
      <c r="J7">
        <v>0</v>
      </c>
      <c r="K7" t="str">
        <f>'3. Hazards'!F26</f>
        <v>✅ Yes</v>
      </c>
      <c r="L7">
        <f t="shared" si="0"/>
        <v>2</v>
      </c>
      <c r="M7" t="str">
        <f>'3. Hazards'!$G26</f>
        <v>Moderate Impact</v>
      </c>
      <c r="N7" t="str">
        <f t="shared" si="1"/>
        <v>Moderate Impact</v>
      </c>
      <c r="O7" t="b">
        <f>'3. Hazards'!$G26=O$1</f>
        <v>0</v>
      </c>
      <c r="P7" t="b">
        <f>'3. Hazards'!$G26=P$1</f>
        <v>1</v>
      </c>
      <c r="Q7" t="b">
        <f>'3. Hazards'!$G26=Q$1</f>
        <v>0</v>
      </c>
      <c r="R7" t="str">
        <f>IF(ISBLANK('3. Hazards'!H26),"",'3. Hazards'!H26)</f>
        <v>The concrete construction (armoring and strengthening) and burying of the ABR, mean force of flood waters will have minimal impact when located away from rivers or coastal areas. If inlet pipes are not secured or buried, they may present a risk of failure. If the system is partially exposed to flood water, such as on the river bank or coastline, flood waters are more of a concern.</v>
      </c>
      <c r="S7" t="str">
        <f t="shared" si="2"/>
        <v>💦🌊</v>
      </c>
      <c r="T7" t="str">
        <f>IF(AND(C7=1,DF_Calc!C$4=Model_Lists!$A$4),C$1,"")</f>
        <v>💦</v>
      </c>
      <c r="U7" t="str">
        <f>IF(AND(D7=1,DF_Calc!D$4=Model_Lists!$A$4),D$1,"")</f>
        <v/>
      </c>
      <c r="V7" t="str">
        <f>IF(AND(E7=1,DF_Calc!E$4=Model_Lists!$A$4),E$1,"")</f>
        <v>🌊</v>
      </c>
      <c r="W7" t="str">
        <f>IF(AND(F7=1,DF_Calc!F$4=Model_Lists!$A$4),F$1,"")</f>
        <v/>
      </c>
      <c r="X7" t="str">
        <f>IF(AND(G7=1,DF_Calc!G$4=Model_Lists!$A$4),G$1,"")</f>
        <v/>
      </c>
      <c r="Y7" t="str">
        <f>IF(AND(H7=1,DF_Calc!H$4=Model_Lists!$A$4),H$1,"")</f>
        <v/>
      </c>
      <c r="Z7" t="str">
        <f>IF(AND(I7=1,DF_Calc!I$4=Model_Lists!$A$4),I$1,"")</f>
        <v/>
      </c>
      <c r="AA7" t="str">
        <f>IF(AND(J7=1,DF_Calc!J$4=Model_Lists!$A$4),J$1,"")</f>
        <v/>
      </c>
    </row>
    <row r="8" spans="1:27">
      <c r="A8" t="s">
        <v>108</v>
      </c>
      <c r="B8" t="s">
        <v>82</v>
      </c>
      <c r="C8">
        <v>1</v>
      </c>
      <c r="D8">
        <v>0</v>
      </c>
      <c r="E8">
        <v>1</v>
      </c>
      <c r="F8">
        <v>0</v>
      </c>
      <c r="G8">
        <v>0</v>
      </c>
      <c r="H8">
        <v>0</v>
      </c>
      <c r="I8">
        <v>0</v>
      </c>
      <c r="J8">
        <v>0</v>
      </c>
      <c r="K8" t="str">
        <f>'3. Hazards'!F27</f>
        <v>✅ Yes</v>
      </c>
      <c r="L8">
        <f t="shared" si="0"/>
        <v>2</v>
      </c>
      <c r="M8" t="str">
        <f>'3. Hazards'!$G27</f>
        <v>Moderate Impact</v>
      </c>
      <c r="N8" t="str">
        <f t="shared" si="1"/>
        <v>Moderate Impact</v>
      </c>
      <c r="O8" t="b">
        <f>'3. Hazards'!$G27=O$1</f>
        <v>0</v>
      </c>
      <c r="P8" t="b">
        <f>'3. Hazards'!$G27=P$1</f>
        <v>1</v>
      </c>
      <c r="Q8" t="b">
        <f>'3. Hazards'!$G27=Q$1</f>
        <v>0</v>
      </c>
      <c r="R8" t="str">
        <f>IF(ISBLANK('3. Hazards'!H27),"",'3. Hazards'!H27)</f>
        <v>If the pressure head for the treatment is high and/or inflow velocity is hight, the residence time in various chambers will be reduced, reducing treatment effectiveness.</v>
      </c>
      <c r="S8" t="str">
        <f t="shared" si="2"/>
        <v>💦🌊</v>
      </c>
      <c r="T8" t="str">
        <f>IF(AND(C8=1,DF_Calc!C$4=Model_Lists!$A$4),C$1,"")</f>
        <v>💦</v>
      </c>
      <c r="U8" t="str">
        <f>IF(AND(D8=1,DF_Calc!D$4=Model_Lists!$A$4),D$1,"")</f>
        <v/>
      </c>
      <c r="V8" t="str">
        <f>IF(AND(E8=1,DF_Calc!E$4=Model_Lists!$A$4),E$1,"")</f>
        <v>🌊</v>
      </c>
      <c r="W8" t="str">
        <f>IF(AND(F8=1,DF_Calc!F$4=Model_Lists!$A$4),F$1,"")</f>
        <v/>
      </c>
      <c r="X8" t="str">
        <f>IF(AND(G8=1,DF_Calc!G$4=Model_Lists!$A$4),G$1,"")</f>
        <v/>
      </c>
      <c r="Y8" t="str">
        <f>IF(AND(H8=1,DF_Calc!H$4=Model_Lists!$A$4),H$1,"")</f>
        <v/>
      </c>
      <c r="Z8" t="str">
        <f>IF(AND(I8=1,DF_Calc!I$4=Model_Lists!$A$4),I$1,"")</f>
        <v/>
      </c>
      <c r="AA8" t="str">
        <f>IF(AND(J8=1,DF_Calc!J$4=Model_Lists!$A$4),J$1,"")</f>
        <v/>
      </c>
    </row>
    <row r="9" spans="1:27">
      <c r="A9" t="s">
        <v>109</v>
      </c>
      <c r="B9" t="s">
        <v>83</v>
      </c>
      <c r="C9">
        <v>1</v>
      </c>
      <c r="D9">
        <v>0</v>
      </c>
      <c r="E9">
        <v>1</v>
      </c>
      <c r="F9">
        <v>0</v>
      </c>
      <c r="G9">
        <v>0</v>
      </c>
      <c r="H9">
        <v>0</v>
      </c>
      <c r="I9">
        <v>0</v>
      </c>
      <c r="J9">
        <v>0</v>
      </c>
      <c r="K9" t="str">
        <f>'3. Hazards'!F28</f>
        <v>✅ Yes</v>
      </c>
      <c r="L9">
        <f t="shared" si="0"/>
        <v>2</v>
      </c>
      <c r="M9" t="str">
        <f>'3. Hazards'!$G28</f>
        <v>Moderate Impact</v>
      </c>
      <c r="N9" t="str">
        <f t="shared" si="1"/>
        <v>Moderate Impact</v>
      </c>
      <c r="O9" t="b">
        <f>'3. Hazards'!$G28=O$1</f>
        <v>0</v>
      </c>
      <c r="P9" t="b">
        <f>'3. Hazards'!$G28=P$1</f>
        <v>1</v>
      </c>
      <c r="Q9" t="b">
        <f>'3. Hazards'!$G28=Q$1</f>
        <v>0</v>
      </c>
      <c r="R9" t="str">
        <f>IF(ISBLANK('3. Hazards'!H28),"",'3. Hazards'!H28)</f>
        <v>If the pressure head for the treatment is high and/or inflow velocity is hight, the residence time in various chambers will be reduced, reducing treatment effectiveness.</v>
      </c>
      <c r="S9" t="str">
        <f t="shared" si="2"/>
        <v>💦🌊</v>
      </c>
      <c r="T9" t="str">
        <f>IF(AND(C9=1,DF_Calc!C$4=Model_Lists!$A$4),C$1,"")</f>
        <v>💦</v>
      </c>
      <c r="U9" t="str">
        <f>IF(AND(D9=1,DF_Calc!D$4=Model_Lists!$A$4),D$1,"")</f>
        <v/>
      </c>
      <c r="V9" t="str">
        <f>IF(AND(E9=1,DF_Calc!E$4=Model_Lists!$A$4),E$1,"")</f>
        <v>🌊</v>
      </c>
      <c r="W9" t="str">
        <f>IF(AND(F9=1,DF_Calc!F$4=Model_Lists!$A$4),F$1,"")</f>
        <v/>
      </c>
      <c r="X9" t="str">
        <f>IF(AND(G9=1,DF_Calc!G$4=Model_Lists!$A$4),G$1,"")</f>
        <v/>
      </c>
      <c r="Y9" t="str">
        <f>IF(AND(H9=1,DF_Calc!H$4=Model_Lists!$A$4),H$1,"")</f>
        <v/>
      </c>
      <c r="Z9" t="str">
        <f>IF(AND(I9=1,DF_Calc!I$4=Model_Lists!$A$4),I$1,"")</f>
        <v/>
      </c>
      <c r="AA9" t="str">
        <f>IF(AND(J9=1,DF_Calc!J$4=Model_Lists!$A$4),J$1,"")</f>
        <v/>
      </c>
    </row>
    <row r="10" spans="1:27">
      <c r="A10" t="s">
        <v>110</v>
      </c>
      <c r="B10" t="s">
        <v>2</v>
      </c>
      <c r="C10">
        <v>1</v>
      </c>
      <c r="D10">
        <v>0</v>
      </c>
      <c r="E10">
        <v>0</v>
      </c>
      <c r="F10">
        <v>0</v>
      </c>
      <c r="G10">
        <v>0</v>
      </c>
      <c r="H10">
        <v>0</v>
      </c>
      <c r="I10">
        <v>0</v>
      </c>
      <c r="J10">
        <v>0</v>
      </c>
      <c r="K10" t="str">
        <f>'3. Hazards'!F29</f>
        <v>✅ Yes</v>
      </c>
      <c r="L10">
        <f t="shared" si="0"/>
        <v>1</v>
      </c>
      <c r="M10" t="str">
        <f>'3. Hazards'!$G29</f>
        <v>Moderate Impact</v>
      </c>
      <c r="N10" t="str">
        <f t="shared" si="1"/>
        <v>Moderate Impact</v>
      </c>
      <c r="O10" t="b">
        <f>'3. Hazards'!$G29=O$1</f>
        <v>0</v>
      </c>
      <c r="P10" t="b">
        <f>'3. Hazards'!$G29=P$1</f>
        <v>1</v>
      </c>
      <c r="Q10" t="b">
        <f>'3. Hazards'!$G29=Q$1</f>
        <v>0</v>
      </c>
      <c r="R10" t="str">
        <f>IF(ISBLANK('3. Hazards'!H29),"",'3. Hazards'!H29)</f>
        <v xml:space="preserve">Backflow or restricted discharge due to raised receiving water levels could reduce residence time and function of the ABR = low impact. Extended periods and flat terrain could cause backflow to the toilet = medium impact.  Overall in Banjarmasin this is medium impact as it is quite likely and very flat. </v>
      </c>
      <c r="S10" t="str">
        <f t="shared" si="2"/>
        <v>💦</v>
      </c>
      <c r="T10" t="str">
        <f>IF(AND(C10=1,DF_Calc!C$4=Model_Lists!$A$4),C$1,"")</f>
        <v>💦</v>
      </c>
      <c r="U10" t="str">
        <f>IF(AND(D10=1,DF_Calc!D$4=Model_Lists!$A$4),D$1,"")</f>
        <v/>
      </c>
      <c r="V10" t="str">
        <f>IF(AND(E10=1,DF_Calc!E$4=Model_Lists!$A$4),E$1,"")</f>
        <v/>
      </c>
      <c r="W10" t="str">
        <f>IF(AND(F10=1,DF_Calc!F$4=Model_Lists!$A$4),F$1,"")</f>
        <v/>
      </c>
      <c r="X10" t="str">
        <f>IF(AND(G10=1,DF_Calc!G$4=Model_Lists!$A$4),G$1,"")</f>
        <v/>
      </c>
      <c r="Y10" t="str">
        <f>IF(AND(H10=1,DF_Calc!H$4=Model_Lists!$A$4),H$1,"")</f>
        <v/>
      </c>
      <c r="Z10" t="str">
        <f>IF(AND(I10=1,DF_Calc!I$4=Model_Lists!$A$4),I$1,"")</f>
        <v/>
      </c>
      <c r="AA10" t="str">
        <f>IF(AND(J10=1,DF_Calc!J$4=Model_Lists!$A$4),J$1,"")</f>
        <v/>
      </c>
    </row>
    <row r="11" spans="1:27">
      <c r="A11" t="s">
        <v>111</v>
      </c>
      <c r="B11" t="s">
        <v>86</v>
      </c>
      <c r="C11">
        <v>0</v>
      </c>
      <c r="D11">
        <v>0</v>
      </c>
      <c r="E11">
        <v>0</v>
      </c>
      <c r="F11">
        <v>0</v>
      </c>
      <c r="G11">
        <v>0</v>
      </c>
      <c r="H11">
        <v>1</v>
      </c>
      <c r="I11">
        <v>0</v>
      </c>
      <c r="J11">
        <v>0</v>
      </c>
      <c r="K11" t="str">
        <f>'3. Hazards'!F30</f>
        <v>✅ Yes</v>
      </c>
      <c r="L11">
        <f t="shared" si="0"/>
        <v>1</v>
      </c>
      <c r="M11" t="str">
        <f>'3. Hazards'!$G30</f>
        <v>Low Impact</v>
      </c>
      <c r="N11" t="str">
        <f t="shared" si="1"/>
        <v>Low Impact</v>
      </c>
      <c r="O11" t="b">
        <f>'3. Hazards'!$G30=O$1</f>
        <v>1</v>
      </c>
      <c r="P11" t="b">
        <f>'3. Hazards'!$G30=P$1</f>
        <v>0</v>
      </c>
      <c r="Q11" t="b">
        <f>'3. Hazards'!$G30=Q$1</f>
        <v>0</v>
      </c>
      <c r="R11" t="str">
        <f>IF(ISBLANK('3. Hazards'!H30),"",'3. Hazards'!H30)</f>
        <v>A regular flow of water drives flows through the ABR. Reduced velocity is ok, it will increase the pathogen treatment time in each chamber.</v>
      </c>
      <c r="S11" t="str">
        <f t="shared" si="2"/>
        <v>🌵</v>
      </c>
      <c r="T11" t="str">
        <f>IF(AND(C11=1,DF_Calc!C$4=Model_Lists!$A$4),C$1,"")</f>
        <v/>
      </c>
      <c r="U11" t="str">
        <f>IF(AND(D11=1,DF_Calc!D$4=Model_Lists!$A$4),D$1,"")</f>
        <v/>
      </c>
      <c r="V11" t="str">
        <f>IF(AND(E11=1,DF_Calc!E$4=Model_Lists!$A$4),E$1,"")</f>
        <v/>
      </c>
      <c r="W11" t="str">
        <f>IF(AND(F11=1,DF_Calc!F$4=Model_Lists!$A$4),F$1,"")</f>
        <v/>
      </c>
      <c r="X11" t="str">
        <f>IF(AND(G11=1,DF_Calc!G$4=Model_Lists!$A$4),G$1,"")</f>
        <v/>
      </c>
      <c r="Y11" t="str">
        <f>IF(AND(H11=1,DF_Calc!H$4=Model_Lists!$A$4),H$1,"")</f>
        <v>🌵</v>
      </c>
      <c r="Z11" t="str">
        <f>IF(AND(I11=1,DF_Calc!I$4=Model_Lists!$A$4),I$1,"")</f>
        <v/>
      </c>
      <c r="AA11" t="str">
        <f>IF(AND(J11=1,DF_Calc!J$4=Model_Lists!$A$4),J$1,"")</f>
        <v/>
      </c>
    </row>
    <row r="12" spans="1:27">
      <c r="A12" t="s">
        <v>112</v>
      </c>
      <c r="B12" t="s">
        <v>71</v>
      </c>
      <c r="C12">
        <v>0</v>
      </c>
      <c r="D12">
        <v>0</v>
      </c>
      <c r="E12">
        <v>0</v>
      </c>
      <c r="F12">
        <v>0</v>
      </c>
      <c r="G12">
        <v>0</v>
      </c>
      <c r="H12">
        <v>1</v>
      </c>
      <c r="I12">
        <v>0</v>
      </c>
      <c r="J12">
        <v>0</v>
      </c>
      <c r="K12" t="str">
        <f>'3. Hazards'!F31</f>
        <v>✅ Yes</v>
      </c>
      <c r="L12">
        <f t="shared" si="0"/>
        <v>1</v>
      </c>
      <c r="M12" t="str">
        <f>'3. Hazards'!$G31</f>
        <v>Moderate Impact</v>
      </c>
      <c r="N12" t="str">
        <f t="shared" si="1"/>
        <v>Moderate Impact</v>
      </c>
      <c r="O12" t="b">
        <f>'3. Hazards'!$G31=O$1</f>
        <v>0</v>
      </c>
      <c r="P12" t="b">
        <f>'3. Hazards'!$G31=P$1</f>
        <v>1</v>
      </c>
      <c r="Q12" t="b">
        <f>'3. Hazards'!$G31=Q$1</f>
        <v>0</v>
      </c>
      <c r="R12" t="str">
        <f>IF(ISBLANK('3. Hazards'!H31),"",'3. Hazards'!H31)</f>
        <v>Reduced water inflow volumes may mean an increase in pathogen concentration in the chambers (less diultion). It's likely the ABR can buffer and reductions in flow volume and increase in pathogen concentration through a longer treatment time because of the reduced flows. Water is required to move waste from toilets to ABR to be treated, so as long as water volume is not below these required levels, impacts will be lower.</v>
      </c>
      <c r="S12" t="str">
        <f t="shared" si="2"/>
        <v>🌵</v>
      </c>
      <c r="T12" t="str">
        <f>IF(AND(C12=1,DF_Calc!C$4=Model_Lists!$A$4),C$1,"")</f>
        <v/>
      </c>
      <c r="U12" t="str">
        <f>IF(AND(D12=1,DF_Calc!D$4=Model_Lists!$A$4),D$1,"")</f>
        <v/>
      </c>
      <c r="V12" t="str">
        <f>IF(AND(E12=1,DF_Calc!E$4=Model_Lists!$A$4),E$1,"")</f>
        <v/>
      </c>
      <c r="W12" t="str">
        <f>IF(AND(F12=1,DF_Calc!F$4=Model_Lists!$A$4),F$1,"")</f>
        <v/>
      </c>
      <c r="X12" t="str">
        <f>IF(AND(G12=1,DF_Calc!G$4=Model_Lists!$A$4),G$1,"")</f>
        <v/>
      </c>
      <c r="Y12" t="str">
        <f>IF(AND(H12=1,DF_Calc!H$4=Model_Lists!$A$4),H$1,"")</f>
        <v>🌵</v>
      </c>
      <c r="Z12" t="str">
        <f>IF(AND(I12=1,DF_Calc!I$4=Model_Lists!$A$4),I$1,"")</f>
        <v/>
      </c>
      <c r="AA12" t="str">
        <f>IF(AND(J12=1,DF_Calc!J$4=Model_Lists!$A$4),J$1,"")</f>
        <v/>
      </c>
    </row>
    <row r="13" spans="1:27">
      <c r="A13" t="s">
        <v>113</v>
      </c>
      <c r="B13" t="s">
        <v>72</v>
      </c>
      <c r="C13">
        <v>1</v>
      </c>
      <c r="D13">
        <v>1</v>
      </c>
      <c r="E13">
        <v>1</v>
      </c>
      <c r="F13">
        <v>0</v>
      </c>
      <c r="G13">
        <v>0</v>
      </c>
      <c r="H13">
        <v>0</v>
      </c>
      <c r="I13">
        <v>0</v>
      </c>
      <c r="J13">
        <v>0</v>
      </c>
      <c r="K13" t="str">
        <f>'3. Hazards'!F32</f>
        <v>✅ Yes</v>
      </c>
      <c r="L13">
        <f t="shared" si="0"/>
        <v>3</v>
      </c>
      <c r="M13" t="str">
        <f>'3. Hazards'!$G32</f>
        <v>Moderate Impact</v>
      </c>
      <c r="N13" t="str">
        <f t="shared" si="1"/>
        <v>Moderate Impact</v>
      </c>
      <c r="O13" t="b">
        <f>'3. Hazards'!$G32=O$1</f>
        <v>0</v>
      </c>
      <c r="P13" t="b">
        <f>'3. Hazards'!$G32=P$1</f>
        <v>1</v>
      </c>
      <c r="Q13" t="b">
        <f>'3. Hazards'!$G32=Q$1</f>
        <v>0</v>
      </c>
      <c r="R13" t="str">
        <f>IF(ISBLANK('3. Hazards'!H32),"",'3. Hazards'!H32)</f>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c r="S13" t="str">
        <f t="shared" si="2"/>
        <v>💦🌧🌊</v>
      </c>
      <c r="T13" t="str">
        <f>IF(AND(C13=1,DF_Calc!C$4=Model_Lists!$A$4),C$1,"")</f>
        <v>💦</v>
      </c>
      <c r="U13" t="str">
        <f>IF(AND(D13=1,DF_Calc!D$4=Model_Lists!$A$4),D$1,"")</f>
        <v>🌧</v>
      </c>
      <c r="V13" t="str">
        <f>IF(AND(E13=1,DF_Calc!E$4=Model_Lists!$A$4),E$1,"")</f>
        <v>🌊</v>
      </c>
      <c r="W13" t="str">
        <f>IF(AND(F13=1,DF_Calc!F$4=Model_Lists!$A$4),F$1,"")</f>
        <v/>
      </c>
      <c r="X13" t="str">
        <f>IF(AND(G13=1,DF_Calc!G$4=Model_Lists!$A$4),G$1,"")</f>
        <v/>
      </c>
      <c r="Y13" t="str">
        <f>IF(AND(H13=1,DF_Calc!H$4=Model_Lists!$A$4),H$1,"")</f>
        <v/>
      </c>
      <c r="Z13" t="str">
        <f>IF(AND(I13=1,DF_Calc!I$4=Model_Lists!$A$4),I$1,"")</f>
        <v/>
      </c>
      <c r="AA13" t="str">
        <f>IF(AND(J13=1,DF_Calc!J$4=Model_Lists!$A$4),J$1,"")</f>
        <v/>
      </c>
    </row>
    <row r="14" spans="1:27">
      <c r="A14" t="s">
        <v>114</v>
      </c>
      <c r="B14" t="s">
        <v>73</v>
      </c>
      <c r="C14">
        <v>0</v>
      </c>
      <c r="D14">
        <v>0</v>
      </c>
      <c r="E14">
        <v>0</v>
      </c>
      <c r="F14">
        <v>1</v>
      </c>
      <c r="G14">
        <v>0</v>
      </c>
      <c r="H14">
        <v>0</v>
      </c>
      <c r="I14">
        <v>1</v>
      </c>
      <c r="J14">
        <v>1</v>
      </c>
      <c r="K14" t="str">
        <f>'3. Hazards'!F33</f>
        <v>⛔️ No</v>
      </c>
      <c r="L14">
        <f t="shared" si="0"/>
        <v>3</v>
      </c>
      <c r="M14">
        <f>'3. Hazards'!$G33</f>
        <v>0</v>
      </c>
      <c r="N14" t="str">
        <f t="shared" si="1"/>
        <v>-</v>
      </c>
      <c r="O14" t="b">
        <f>'3. Hazards'!$G33=O$1</f>
        <v>0</v>
      </c>
      <c r="P14" t="b">
        <f>'3. Hazards'!$G33=P$1</f>
        <v>0</v>
      </c>
      <c r="Q14" t="b">
        <f>'3. Hazards'!$G33=Q$1</f>
        <v>0</v>
      </c>
      <c r="R14" t="str">
        <f>IF(ISBLANK('3. Hazards'!H33),"",'3. Hazards'!H33)</f>
        <v/>
      </c>
      <c r="S14" t="str">
        <f t="shared" si="2"/>
        <v>🔥🌡☀️</v>
      </c>
      <c r="T14" t="str">
        <f>IF(AND(C14=1,DF_Calc!C$4=Model_Lists!$A$4),C$1,"")</f>
        <v/>
      </c>
      <c r="U14" t="str">
        <f>IF(AND(D14=1,DF_Calc!D$4=Model_Lists!$A$4),D$1,"")</f>
        <v/>
      </c>
      <c r="V14" t="str">
        <f>IF(AND(E14=1,DF_Calc!E$4=Model_Lists!$A$4),E$1,"")</f>
        <v/>
      </c>
      <c r="W14" t="str">
        <f>IF(AND(F14=1,DF_Calc!F$4=Model_Lists!$A$4),F$1,"")</f>
        <v>🔥</v>
      </c>
      <c r="X14" t="str">
        <f>IF(AND(G14=1,DF_Calc!G$4=Model_Lists!$A$4),G$1,"")</f>
        <v/>
      </c>
      <c r="Y14" t="str">
        <f>IF(AND(H14=1,DF_Calc!H$4=Model_Lists!$A$4),H$1,"")</f>
        <v/>
      </c>
      <c r="Z14" t="str">
        <f>IF(AND(I14=1,DF_Calc!I$4=Model_Lists!$A$4),I$1,"")</f>
        <v>🌡</v>
      </c>
      <c r="AA14" t="str">
        <f>IF(AND(J14=1,DF_Calc!J$4=Model_Lists!$A$4),J$1,"")</f>
        <v>☀️</v>
      </c>
    </row>
    <row r="15" spans="1:27">
      <c r="A15" t="s">
        <v>115</v>
      </c>
      <c r="B15" t="s">
        <v>74</v>
      </c>
      <c r="C15">
        <v>0</v>
      </c>
      <c r="D15">
        <v>0</v>
      </c>
      <c r="E15">
        <v>0</v>
      </c>
      <c r="F15">
        <v>0</v>
      </c>
      <c r="G15">
        <v>1</v>
      </c>
      <c r="H15">
        <v>0</v>
      </c>
      <c r="I15">
        <v>0</v>
      </c>
      <c r="J15">
        <v>0</v>
      </c>
      <c r="K15" t="str">
        <f>'3. Hazards'!F34</f>
        <v>✅ Yes</v>
      </c>
      <c r="L15">
        <f t="shared" si="0"/>
        <v>1</v>
      </c>
      <c r="M15" t="str">
        <f>'3. Hazards'!$G34</f>
        <v>Low Impact</v>
      </c>
      <c r="N15" t="str">
        <f t="shared" si="1"/>
        <v>Low Impact</v>
      </c>
      <c r="O15" t="b">
        <f>'3. Hazards'!$G34=O$1</f>
        <v>1</v>
      </c>
      <c r="P15" t="b">
        <f>'3. Hazards'!$G34=P$1</f>
        <v>0</v>
      </c>
      <c r="Q15" t="b">
        <f>'3. Hazards'!$G34=Q$1</f>
        <v>0</v>
      </c>
      <c r="R15" t="str">
        <f>IF(ISBLANK('3. Hazards'!H34),"",'3. Hazards'!H34)</f>
        <v>It's unlikely uprooted trees would impact the ABR as an excavated site is necessary for its installation. This would only be an issue if trees grew over time and roots were adjacent/under components</v>
      </c>
      <c r="S15" t="str">
        <f t="shared" si="2"/>
        <v>💨</v>
      </c>
      <c r="T15" t="str">
        <f>IF(AND(C15=1,DF_Calc!C$4=Model_Lists!$A$4),C$1,"")</f>
        <v/>
      </c>
      <c r="U15" t="str">
        <f>IF(AND(D15=1,DF_Calc!D$4=Model_Lists!$A$4),D$1,"")</f>
        <v/>
      </c>
      <c r="V15" t="str">
        <f>IF(AND(E15=1,DF_Calc!E$4=Model_Lists!$A$4),E$1,"")</f>
        <v/>
      </c>
      <c r="W15" t="str">
        <f>IF(AND(F15=1,DF_Calc!F$4=Model_Lists!$A$4),F$1,"")</f>
        <v/>
      </c>
      <c r="X15" t="str">
        <f>IF(AND(G15=1,DF_Calc!G$4=Model_Lists!$A$4),G$1,"")</f>
        <v>💨</v>
      </c>
      <c r="Y15" t="str">
        <f>IF(AND(H15=1,DF_Calc!H$4=Model_Lists!$A$4),H$1,"")</f>
        <v/>
      </c>
      <c r="Z15" t="str">
        <f>IF(AND(I15=1,DF_Calc!I$4=Model_Lists!$A$4),I$1,"")</f>
        <v/>
      </c>
      <c r="AA15" t="str">
        <f>IF(AND(J15=1,DF_Calc!J$4=Model_Lists!$A$4),J$1,"")</f>
        <v/>
      </c>
    </row>
    <row r="16" spans="1:27">
      <c r="A16" t="s">
        <v>116</v>
      </c>
      <c r="B16" t="s">
        <v>75</v>
      </c>
      <c r="C16">
        <v>0</v>
      </c>
      <c r="D16">
        <v>1</v>
      </c>
      <c r="E16">
        <v>0</v>
      </c>
      <c r="F16">
        <v>0</v>
      </c>
      <c r="G16">
        <v>0</v>
      </c>
      <c r="H16">
        <v>0</v>
      </c>
      <c r="I16">
        <v>0</v>
      </c>
      <c r="J16">
        <v>0</v>
      </c>
      <c r="K16" t="str">
        <f>'3. Hazards'!F35</f>
        <v>✅ Yes</v>
      </c>
      <c r="L16">
        <f t="shared" si="0"/>
        <v>1</v>
      </c>
      <c r="M16" t="str">
        <f>'3. Hazards'!$G35</f>
        <v>Low Impact</v>
      </c>
      <c r="N16" t="str">
        <f t="shared" si="1"/>
        <v>Low Impact</v>
      </c>
      <c r="O16" t="b">
        <f>'3. Hazards'!$G35=O$1</f>
        <v>1</v>
      </c>
      <c r="P16" t="b">
        <f>'3. Hazards'!$G35=P$1</f>
        <v>0</v>
      </c>
      <c r="Q16" t="b">
        <f>'3. Hazards'!$G35=Q$1</f>
        <v>0</v>
      </c>
      <c r="R16" t="str">
        <f>IF(ISBLANK('3. Hazards'!H35),"",'3. Hazards'!H35)</f>
        <v>Variable inflow velocity (low and high) can be accommodated by the ABR to a point. Refer to comments above on high flows.</v>
      </c>
      <c r="S16" t="str">
        <f t="shared" si="2"/>
        <v>🌧</v>
      </c>
      <c r="T16" t="str">
        <f>IF(AND(C16=1,DF_Calc!C$4=Model_Lists!$A$4),C$1,"")</f>
        <v/>
      </c>
      <c r="U16" t="str">
        <f>IF(AND(D16=1,DF_Calc!D$4=Model_Lists!$A$4),D$1,"")</f>
        <v>🌧</v>
      </c>
      <c r="V16" t="str">
        <f>IF(AND(E16=1,DF_Calc!E$4=Model_Lists!$A$4),E$1,"")</f>
        <v/>
      </c>
      <c r="W16" t="str">
        <f>IF(AND(F16=1,DF_Calc!F$4=Model_Lists!$A$4),F$1,"")</f>
        <v/>
      </c>
      <c r="X16" t="str">
        <f>IF(AND(G16=1,DF_Calc!G$4=Model_Lists!$A$4),G$1,"")</f>
        <v/>
      </c>
      <c r="Y16" t="str">
        <f>IF(AND(H16=1,DF_Calc!H$4=Model_Lists!$A$4),H$1,"")</f>
        <v/>
      </c>
      <c r="Z16" t="str">
        <f>IF(AND(I16=1,DF_Calc!I$4=Model_Lists!$A$4),I$1,"")</f>
        <v/>
      </c>
      <c r="AA16" t="str">
        <f>IF(AND(J16=1,DF_Calc!J$4=Model_Lists!$A$4),J$1,"")</f>
        <v/>
      </c>
    </row>
    <row r="17" spans="1:27">
      <c r="A17" t="s">
        <v>117</v>
      </c>
      <c r="B17" t="s">
        <v>76</v>
      </c>
      <c r="C17">
        <v>0</v>
      </c>
      <c r="D17">
        <v>1</v>
      </c>
      <c r="E17">
        <v>0</v>
      </c>
      <c r="F17">
        <v>0</v>
      </c>
      <c r="G17">
        <v>0</v>
      </c>
      <c r="H17">
        <v>0</v>
      </c>
      <c r="I17">
        <v>0</v>
      </c>
      <c r="J17">
        <v>0</v>
      </c>
      <c r="K17" t="str">
        <f>'3. Hazards'!F36</f>
        <v>✅ Yes</v>
      </c>
      <c r="L17">
        <f t="shared" si="0"/>
        <v>1</v>
      </c>
      <c r="M17" t="str">
        <f>'3. Hazards'!$G36</f>
        <v>Low Impact</v>
      </c>
      <c r="N17" t="str">
        <f t="shared" si="1"/>
        <v>Low Impact</v>
      </c>
      <c r="O17" t="b">
        <f>'3. Hazards'!$G36=O$1</f>
        <v>1</v>
      </c>
      <c r="P17" t="b">
        <f>'3. Hazards'!$G36=P$1</f>
        <v>0</v>
      </c>
      <c r="Q17" t="b">
        <f>'3. Hazards'!$G36=Q$1</f>
        <v>0</v>
      </c>
      <c r="R17" t="str">
        <f>IF(ISBLANK('3. Hazards'!H36),"",'3. Hazards'!H36)</f>
        <v>Variable inflow volume (low and high) can be accommodated by the ABR to a potint. Refer to comments above on high flows.</v>
      </c>
      <c r="S17" t="str">
        <f t="shared" si="2"/>
        <v>🌧</v>
      </c>
      <c r="T17" t="str">
        <f>IF(AND(C17=1,DF_Calc!C$4=Model_Lists!$A$4),C$1,"")</f>
        <v/>
      </c>
      <c r="U17" t="str">
        <f>IF(AND(D17=1,DF_Calc!D$4=Model_Lists!$A$4),D$1,"")</f>
        <v>🌧</v>
      </c>
      <c r="V17" t="str">
        <f>IF(AND(E17=1,DF_Calc!E$4=Model_Lists!$A$4),E$1,"")</f>
        <v/>
      </c>
      <c r="W17" t="str">
        <f>IF(AND(F17=1,DF_Calc!F$4=Model_Lists!$A$4),F$1,"")</f>
        <v/>
      </c>
      <c r="X17" t="str">
        <f>IF(AND(G17=1,DF_Calc!G$4=Model_Lists!$A$4),G$1,"")</f>
        <v/>
      </c>
      <c r="Y17" t="str">
        <f>IF(AND(H17=1,DF_Calc!H$4=Model_Lists!$A$4),H$1,"")</f>
        <v/>
      </c>
      <c r="Z17" t="str">
        <f>IF(AND(I17=1,DF_Calc!I$4=Model_Lists!$A$4),I$1,"")</f>
        <v/>
      </c>
      <c r="AA17" t="str">
        <f>IF(AND(J17=1,DF_Calc!J$4=Model_Lists!$A$4),J$1,"")</f>
        <v/>
      </c>
    </row>
    <row r="18" spans="1:27">
      <c r="A18" t="s">
        <v>118</v>
      </c>
      <c r="B18" t="s">
        <v>1</v>
      </c>
      <c r="C18">
        <v>1</v>
      </c>
      <c r="D18">
        <v>0</v>
      </c>
      <c r="E18">
        <v>1</v>
      </c>
      <c r="F18">
        <v>0</v>
      </c>
      <c r="G18">
        <v>0</v>
      </c>
      <c r="H18">
        <v>0</v>
      </c>
      <c r="I18">
        <v>0</v>
      </c>
      <c r="J18">
        <v>0</v>
      </c>
      <c r="K18" t="str">
        <f>'3. Hazards'!F37</f>
        <v>✅ Yes</v>
      </c>
      <c r="L18">
        <f t="shared" si="0"/>
        <v>2</v>
      </c>
      <c r="M18" t="str">
        <f>'3. Hazards'!$G37</f>
        <v>High Impact</v>
      </c>
      <c r="N18" t="str">
        <f t="shared" si="1"/>
        <v>High Impact</v>
      </c>
      <c r="O18" t="b">
        <f>'3. Hazards'!$G37=O$1</f>
        <v>0</v>
      </c>
      <c r="P18" t="b">
        <f>'3. Hazards'!$G37=P$1</f>
        <v>0</v>
      </c>
      <c r="Q18" t="b">
        <f>'3. Hazards'!$G37=Q$1</f>
        <v>1</v>
      </c>
      <c r="R18" t="str">
        <f>IF(ISBLANK('3. Hazards'!H37),"",'3. Hazards'!H37)</f>
        <v>If the pressure head for the treatment is high and/or inflow velocity is high, the residence time in various chambers will be reduced, reducing treatment effectiveness.</v>
      </c>
      <c r="S18" t="str">
        <f t="shared" si="2"/>
        <v>💦🌊</v>
      </c>
      <c r="T18" t="str">
        <f>IF(AND(C18=1,DF_Calc!C$4=Model_Lists!$A$4),C$1,"")</f>
        <v>💦</v>
      </c>
      <c r="U18" t="str">
        <f>IF(AND(D18=1,DF_Calc!D$4=Model_Lists!$A$4),D$1,"")</f>
        <v/>
      </c>
      <c r="V18" t="str">
        <f>IF(AND(E18=1,DF_Calc!E$4=Model_Lists!$A$4),E$1,"")</f>
        <v>🌊</v>
      </c>
      <c r="W18" t="str">
        <f>IF(AND(F18=1,DF_Calc!F$4=Model_Lists!$A$4),F$1,"")</f>
        <v/>
      </c>
      <c r="X18" t="str">
        <f>IF(AND(G18=1,DF_Calc!G$4=Model_Lists!$A$4),G$1,"")</f>
        <v/>
      </c>
      <c r="Y18" t="str">
        <f>IF(AND(H18=1,DF_Calc!H$4=Model_Lists!$A$4),H$1,"")</f>
        <v/>
      </c>
      <c r="Z18" t="str">
        <f>IF(AND(I18=1,DF_Calc!I$4=Model_Lists!$A$4),I$1,"")</f>
        <v/>
      </c>
      <c r="AA18" t="str">
        <f>IF(AND(J18=1,DF_Calc!J$4=Model_Lists!$A$4),J$1,"")</f>
        <v/>
      </c>
    </row>
    <row r="19" spans="1:27">
      <c r="A19" t="s">
        <v>119</v>
      </c>
      <c r="B19" t="s">
        <v>77</v>
      </c>
      <c r="C19">
        <v>0</v>
      </c>
      <c r="D19">
        <v>0</v>
      </c>
      <c r="E19">
        <v>0</v>
      </c>
      <c r="F19">
        <v>0</v>
      </c>
      <c r="G19">
        <v>1</v>
      </c>
      <c r="H19">
        <v>0</v>
      </c>
      <c r="I19">
        <v>0</v>
      </c>
      <c r="J19">
        <v>0</v>
      </c>
      <c r="K19" t="str">
        <f>'3. Hazards'!F38</f>
        <v>✅ Yes</v>
      </c>
      <c r="L19">
        <f t="shared" si="0"/>
        <v>1</v>
      </c>
      <c r="M19" t="str">
        <f>'3. Hazards'!$G38</f>
        <v>Low Impact</v>
      </c>
      <c r="N19" t="str">
        <f t="shared" si="1"/>
        <v>Low Impact</v>
      </c>
      <c r="O19" t="b">
        <f>'3. Hazards'!$G38=O$1</f>
        <v>1</v>
      </c>
      <c r="P19" t="b">
        <f>'3. Hazards'!$G38=P$1</f>
        <v>0</v>
      </c>
      <c r="Q19" t="b">
        <f>'3. Hazards'!$G38=Q$1</f>
        <v>0</v>
      </c>
      <c r="R19" t="str">
        <f>IF(ISBLANK('3. Hazards'!H38),"",'3. Hazards'!H38)</f>
        <v>The ABR is buried and heavy, wind is unlikely to impact the structure.</v>
      </c>
      <c r="S19" t="str">
        <f t="shared" si="2"/>
        <v>💨</v>
      </c>
      <c r="T19" t="str">
        <f>IF(AND(C19=1,DF_Calc!C$4=Model_Lists!$A$4),C$1,"")</f>
        <v/>
      </c>
      <c r="U19" t="str">
        <f>IF(AND(D19=1,DF_Calc!D$4=Model_Lists!$A$4),D$1,"")</f>
        <v/>
      </c>
      <c r="V19" t="str">
        <f>IF(AND(E19=1,DF_Calc!E$4=Model_Lists!$A$4),E$1,"")</f>
        <v/>
      </c>
      <c r="W19" t="str">
        <f>IF(AND(F19=1,DF_Calc!F$4=Model_Lists!$A$4),F$1,"")</f>
        <v/>
      </c>
      <c r="X19" t="str">
        <f>IF(AND(G19=1,DF_Calc!G$4=Model_Lists!$A$4),G$1,"")</f>
        <v>💨</v>
      </c>
      <c r="Y19" t="str">
        <f>IF(AND(H19=1,DF_Calc!H$4=Model_Lists!$A$4),H$1,"")</f>
        <v/>
      </c>
      <c r="Z19" t="str">
        <f>IF(AND(I19=1,DF_Calc!I$4=Model_Lists!$A$4),I$1,"")</f>
        <v/>
      </c>
      <c r="AA19" t="str">
        <f>IF(AND(J19=1,DF_Calc!J$4=Model_Lists!$A$4),J$1,"")</f>
        <v/>
      </c>
    </row>
    <row r="20" spans="1:27">
      <c r="A20" t="s">
        <v>120</v>
      </c>
      <c r="B20" t="s">
        <v>78</v>
      </c>
      <c r="C20">
        <v>0</v>
      </c>
      <c r="D20">
        <v>0</v>
      </c>
      <c r="E20">
        <v>0</v>
      </c>
      <c r="F20">
        <v>0</v>
      </c>
      <c r="G20">
        <v>1</v>
      </c>
      <c r="H20">
        <v>0</v>
      </c>
      <c r="I20">
        <v>0</v>
      </c>
      <c r="J20">
        <v>0</v>
      </c>
      <c r="K20" t="str">
        <f>'3. Hazards'!F39</f>
        <v>✅ Yes</v>
      </c>
      <c r="L20">
        <f t="shared" si="0"/>
        <v>1</v>
      </c>
      <c r="M20" t="str">
        <f>'3. Hazards'!$G39</f>
        <v>Low Impact</v>
      </c>
      <c r="N20" t="str">
        <f t="shared" si="1"/>
        <v>Low Impact</v>
      </c>
      <c r="O20" t="b">
        <f>'3. Hazards'!$G39=O$1</f>
        <v>1</v>
      </c>
      <c r="P20" t="b">
        <f>'3. Hazards'!$G39=P$1</f>
        <v>0</v>
      </c>
      <c r="Q20" t="b">
        <f>'3. Hazards'!$G39=Q$1</f>
        <v>0</v>
      </c>
      <c r="R20" t="str">
        <f>IF(ISBLANK('3. Hazards'!H39),"",'3. Hazards'!H39)</f>
        <v>The technology is buried underground so that windblown debris damage is less likely. Depending on location of pipes, they could be struck by debris or debris clogging inlet, but this is lower risk</v>
      </c>
      <c r="S20" t="str">
        <f t="shared" si="2"/>
        <v>💨</v>
      </c>
      <c r="T20" t="str">
        <f>IF(AND(C20=1,DF_Calc!C$4=Model_Lists!$A$4),C$1,"")</f>
        <v/>
      </c>
      <c r="U20" t="str">
        <f>IF(AND(D20=1,DF_Calc!D$4=Model_Lists!$A$4),D$1,"")</f>
        <v/>
      </c>
      <c r="V20" t="str">
        <f>IF(AND(E20=1,DF_Calc!E$4=Model_Lists!$A$4),E$1,"")</f>
        <v/>
      </c>
      <c r="W20" t="str">
        <f>IF(AND(F20=1,DF_Calc!F$4=Model_Lists!$A$4),F$1,"")</f>
        <v/>
      </c>
      <c r="X20" t="str">
        <f>IF(AND(G20=1,DF_Calc!G$4=Model_Lists!$A$4),G$1,"")</f>
        <v>💨</v>
      </c>
      <c r="Y20" t="str">
        <f>IF(AND(H20=1,DF_Calc!H$4=Model_Lists!$A$4),H$1,"")</f>
        <v/>
      </c>
      <c r="Z20" t="str">
        <f>IF(AND(I20=1,DF_Calc!I$4=Model_Lists!$A$4),I$1,"")</f>
        <v/>
      </c>
      <c r="AA20" t="str">
        <f>IF(AND(J20=1,DF_Calc!J$4=Model_Lists!$A$4),J$1,"")</f>
        <v/>
      </c>
    </row>
    <row r="21" spans="1:27">
      <c r="A21" t="s">
        <v>101</v>
      </c>
      <c r="B21" t="s">
        <v>79</v>
      </c>
      <c r="C21">
        <v>0</v>
      </c>
      <c r="D21">
        <v>0</v>
      </c>
      <c r="E21">
        <v>1</v>
      </c>
      <c r="F21">
        <v>0</v>
      </c>
      <c r="G21">
        <v>0</v>
      </c>
      <c r="H21">
        <v>0</v>
      </c>
      <c r="I21">
        <v>0</v>
      </c>
      <c r="J21">
        <v>0</v>
      </c>
      <c r="K21" t="str">
        <f>'3. Hazards'!F40</f>
        <v>✅ Yes</v>
      </c>
      <c r="L21">
        <f t="shared" si="0"/>
        <v>1</v>
      </c>
      <c r="M21" t="str">
        <f>'3. Hazards'!$G40</f>
        <v>Moderate Impact</v>
      </c>
      <c r="N21" t="str">
        <f t="shared" si="1"/>
        <v>Moderate Impact</v>
      </c>
      <c r="O21" t="b">
        <f>'3. Hazards'!$G40=O$1</f>
        <v>0</v>
      </c>
      <c r="P21" t="b">
        <f>'3. Hazards'!$G40=P$1</f>
        <v>1</v>
      </c>
      <c r="Q21" t="b">
        <f>'3. Hazards'!$G40=Q$1</f>
        <v>0</v>
      </c>
      <c r="R21" t="str">
        <f>IF(ISBLANK('3. Hazards'!H40),"",'3. Hazards'!H40)</f>
        <v>Would have less BOD removal and less pathogen removal, but the ABR would still function in terms of physical flow</v>
      </c>
      <c r="S21" t="str">
        <f t="shared" si="2"/>
        <v>🌊</v>
      </c>
      <c r="T21" t="str">
        <f>IF(AND(C21=1,DF_Calc!C$4=Model_Lists!$A$4),C$1,"")</f>
        <v/>
      </c>
      <c r="U21" t="str">
        <f>IF(AND(D21=1,DF_Calc!D$4=Model_Lists!$A$4),D$1,"")</f>
        <v/>
      </c>
      <c r="V21" t="str">
        <f>IF(AND(E21=1,DF_Calc!E$4=Model_Lists!$A$4),E$1,"")</f>
        <v>🌊</v>
      </c>
      <c r="W21" t="str">
        <f>IF(AND(F21=1,DF_Calc!F$4=Model_Lists!$A$4),F$1,"")</f>
        <v/>
      </c>
      <c r="X21" t="str">
        <f>IF(AND(G21=1,DF_Calc!G$4=Model_Lists!$A$4),G$1,"")</f>
        <v/>
      </c>
      <c r="Y21" t="str">
        <f>IF(AND(H21=1,DF_Calc!H$4=Model_Lists!$A$4),H$1,"")</f>
        <v/>
      </c>
      <c r="Z21" t="str">
        <f>IF(AND(I21=1,DF_Calc!I$4=Model_Lists!$A$4),I$1,"")</f>
        <v/>
      </c>
      <c r="AA21" t="str">
        <f>IF(AND(J21=1,DF_Calc!J$4=Model_Lists!$A$4),J$1,"")</f>
        <v/>
      </c>
    </row>
    <row r="22" spans="1:27">
      <c r="A22" t="s">
        <v>121</v>
      </c>
      <c r="B22" t="s">
        <v>80</v>
      </c>
      <c r="C22">
        <v>1</v>
      </c>
      <c r="D22">
        <v>0</v>
      </c>
      <c r="E22">
        <v>0</v>
      </c>
      <c r="F22">
        <v>0</v>
      </c>
      <c r="G22">
        <v>0</v>
      </c>
      <c r="H22">
        <v>1</v>
      </c>
      <c r="I22">
        <v>0</v>
      </c>
      <c r="J22">
        <v>0</v>
      </c>
      <c r="K22" t="str">
        <f>'3. Hazards'!F41</f>
        <v>✅ Yes</v>
      </c>
      <c r="L22">
        <f t="shared" si="0"/>
        <v>2</v>
      </c>
      <c r="M22" t="str">
        <f>'3. Hazards'!$G41</f>
        <v>Moderate Impact</v>
      </c>
      <c r="N22" t="str">
        <f t="shared" si="1"/>
        <v>Moderate Impact</v>
      </c>
      <c r="O22" t="b">
        <f>'3. Hazards'!$G41=O$1</f>
        <v>0</v>
      </c>
      <c r="P22" t="b">
        <f>'3. Hazards'!$G41=P$1</f>
        <v>1</v>
      </c>
      <c r="Q22" t="b">
        <f>'3. Hazards'!$G41=Q$1</f>
        <v>0</v>
      </c>
      <c r="R22" t="str">
        <f>IF(ISBLANK('3. Hazards'!H41),"",'3. Hazards'!H41)</f>
        <v>The ABR would be able to reduce pathogens, but if the concentration became very high or if there were a cholera outbreak, the effluent may be poor quality</v>
      </c>
      <c r="S22" t="str">
        <f t="shared" si="2"/>
        <v>💦🌵</v>
      </c>
      <c r="T22" t="str">
        <f>IF(AND(C22=1,DF_Calc!C$4=Model_Lists!$A$4),C$1,"")</f>
        <v>💦</v>
      </c>
      <c r="U22" t="str">
        <f>IF(AND(D22=1,DF_Calc!D$4=Model_Lists!$A$4),D$1,"")</f>
        <v/>
      </c>
      <c r="V22" t="str">
        <f>IF(AND(E22=1,DF_Calc!E$4=Model_Lists!$A$4),E$1,"")</f>
        <v/>
      </c>
      <c r="W22" t="str">
        <f>IF(AND(F22=1,DF_Calc!F$4=Model_Lists!$A$4),F$1,"")</f>
        <v/>
      </c>
      <c r="X22" t="str">
        <f>IF(AND(G22=1,DF_Calc!G$4=Model_Lists!$A$4),G$1,"")</f>
        <v/>
      </c>
      <c r="Y22" t="str">
        <f>IF(AND(H22=1,DF_Calc!H$4=Model_Lists!$A$4),H$1,"")</f>
        <v>🌵</v>
      </c>
      <c r="Z22" t="str">
        <f>IF(AND(I22=1,DF_Calc!I$4=Model_Lists!$A$4),I$1,"")</f>
        <v/>
      </c>
      <c r="AA22" t="str">
        <f>IF(AND(J22=1,DF_Calc!J$4=Model_Lists!$A$4),J$1,"")</f>
        <v/>
      </c>
    </row>
    <row r="23" spans="1:27">
      <c r="A23" t="s">
        <v>122</v>
      </c>
      <c r="B23" t="s">
        <v>163</v>
      </c>
      <c r="C23">
        <v>0</v>
      </c>
      <c r="D23">
        <v>0</v>
      </c>
      <c r="E23">
        <v>0</v>
      </c>
      <c r="F23">
        <v>0</v>
      </c>
      <c r="G23">
        <v>0</v>
      </c>
      <c r="H23">
        <v>0</v>
      </c>
      <c r="I23">
        <v>1</v>
      </c>
      <c r="J23">
        <v>1</v>
      </c>
      <c r="K23" t="str">
        <f>'3. Hazards'!F42</f>
        <v>✅ Yes</v>
      </c>
      <c r="L23">
        <f t="shared" si="0"/>
        <v>2</v>
      </c>
      <c r="M23" t="str">
        <f>'3. Hazards'!$G42</f>
        <v>Low Impact</v>
      </c>
      <c r="N23" t="str">
        <f t="shared" si="1"/>
        <v>Low Impact</v>
      </c>
      <c r="O23" t="b">
        <f>'3. Hazards'!$G42=O$1</f>
        <v>1</v>
      </c>
      <c r="P23" t="b">
        <f>'3. Hazards'!$G42=P$1</f>
        <v>0</v>
      </c>
      <c r="Q23" t="b">
        <f>'3. Hazards'!$G42=Q$1</f>
        <v>0</v>
      </c>
      <c r="R23" t="str">
        <f>IF(ISBLANK('3. Hazards'!H42),"",'3. Hazards'!H42)</f>
        <v>Extreme heat would have little affect on the structure and treatment processes which are insulated underground</v>
      </c>
      <c r="S23" t="str">
        <f t="shared" si="2"/>
        <v>🌡☀️</v>
      </c>
      <c r="T23" t="str">
        <f>IF(AND(C23=1,DF_Calc!C$4=Model_Lists!$A$4),C$1,"")</f>
        <v/>
      </c>
      <c r="U23" t="str">
        <f>IF(AND(D23=1,DF_Calc!D$4=Model_Lists!$A$4),D$1,"")</f>
        <v/>
      </c>
      <c r="V23" t="str">
        <f>IF(AND(E23=1,DF_Calc!E$4=Model_Lists!$A$4),E$1,"")</f>
        <v/>
      </c>
      <c r="W23" t="str">
        <f>IF(AND(F23=1,DF_Calc!F$4=Model_Lists!$A$4),F$1,"")</f>
        <v/>
      </c>
      <c r="X23" t="str">
        <f>IF(AND(G23=1,DF_Calc!G$4=Model_Lists!$A$4),G$1,"")</f>
        <v/>
      </c>
      <c r="Y23" t="str">
        <f>IF(AND(H23=1,DF_Calc!H$4=Model_Lists!$A$4),H$1,"")</f>
        <v/>
      </c>
      <c r="Z23" t="str">
        <f>IF(AND(I23=1,DF_Calc!I$4=Model_Lists!$A$4),I$1,"")</f>
        <v>🌡</v>
      </c>
      <c r="AA23" t="str">
        <f>IF(AND(J23=1,DF_Calc!J$4=Model_Lists!$A$4),J$1,"")</f>
        <v>☀️</v>
      </c>
    </row>
    <row r="24" spans="1:27">
      <c r="A24" t="s">
        <v>123</v>
      </c>
      <c r="B24" t="s">
        <v>84</v>
      </c>
      <c r="C24">
        <v>0</v>
      </c>
      <c r="D24">
        <v>0</v>
      </c>
      <c r="E24">
        <v>0</v>
      </c>
      <c r="F24">
        <v>0</v>
      </c>
      <c r="G24">
        <v>0</v>
      </c>
      <c r="H24">
        <v>0</v>
      </c>
      <c r="I24">
        <v>1</v>
      </c>
      <c r="J24">
        <v>1</v>
      </c>
      <c r="K24" t="str">
        <f>'3. Hazards'!F43</f>
        <v>⛔️ No</v>
      </c>
      <c r="L24">
        <f t="shared" si="0"/>
        <v>2</v>
      </c>
      <c r="M24">
        <f>'3. Hazards'!$G43</f>
        <v>0</v>
      </c>
      <c r="N24" t="str">
        <f t="shared" si="1"/>
        <v>-</v>
      </c>
      <c r="O24" t="b">
        <f>'3. Hazards'!$G43=O$1</f>
        <v>0</v>
      </c>
      <c r="P24" t="b">
        <f>'3. Hazards'!$G43=P$1</f>
        <v>0</v>
      </c>
      <c r="Q24" t="b">
        <f>'3. Hazards'!$G43=Q$1</f>
        <v>0</v>
      </c>
      <c r="R24" t="str">
        <f>IF(ISBLANK('3. Hazards'!H43),"",'3. Hazards'!H43)</f>
        <v/>
      </c>
      <c r="S24" t="str">
        <f t="shared" si="2"/>
        <v>🌡☀️</v>
      </c>
      <c r="T24" t="str">
        <f>IF(AND(C24=1,DF_Calc!C$4=Model_Lists!$A$4),C$1,"")</f>
        <v/>
      </c>
      <c r="U24" t="str">
        <f>IF(AND(D24=1,DF_Calc!D$4=Model_Lists!$A$4),D$1,"")</f>
        <v/>
      </c>
      <c r="V24" t="str">
        <f>IF(AND(E24=1,DF_Calc!E$4=Model_Lists!$A$4),E$1,"")</f>
        <v/>
      </c>
      <c r="W24" t="str">
        <f>IF(AND(F24=1,DF_Calc!F$4=Model_Lists!$A$4),F$1,"")</f>
        <v/>
      </c>
      <c r="X24" t="str">
        <f>IF(AND(G24=1,DF_Calc!G$4=Model_Lists!$A$4),G$1,"")</f>
        <v/>
      </c>
      <c r="Y24" t="str">
        <f>IF(AND(H24=1,DF_Calc!H$4=Model_Lists!$A$4),H$1,"")</f>
        <v/>
      </c>
      <c r="Z24" t="str">
        <f>IF(AND(I24=1,DF_Calc!I$4=Model_Lists!$A$4),I$1,"")</f>
        <v>🌡</v>
      </c>
      <c r="AA24" t="str">
        <f>IF(AND(J24=1,DF_Calc!J$4=Model_Lists!$A$4),J$1,"")</f>
        <v>☀️</v>
      </c>
    </row>
    <row r="25" spans="1:27">
      <c r="A25" t="s">
        <v>124</v>
      </c>
      <c r="B25" t="s">
        <v>85</v>
      </c>
      <c r="C25">
        <v>0</v>
      </c>
      <c r="D25">
        <v>0</v>
      </c>
      <c r="E25">
        <v>0</v>
      </c>
      <c r="F25">
        <v>0</v>
      </c>
      <c r="G25">
        <v>0</v>
      </c>
      <c r="H25">
        <v>1</v>
      </c>
      <c r="I25">
        <v>0</v>
      </c>
      <c r="J25">
        <v>0</v>
      </c>
      <c r="K25" t="str">
        <f>'3. Hazards'!F44</f>
        <v>✅ Yes</v>
      </c>
      <c r="L25">
        <f t="shared" si="0"/>
        <v>1</v>
      </c>
      <c r="M25" t="str">
        <f>'3. Hazards'!$G44</f>
        <v>Moderate Impact</v>
      </c>
      <c r="N25" t="str">
        <f t="shared" si="1"/>
        <v>Moderate Impact</v>
      </c>
      <c r="O25" t="b">
        <f>'3. Hazards'!$G44=O$1</f>
        <v>0</v>
      </c>
      <c r="P25" t="b">
        <f>'3. Hazards'!$G44=P$1</f>
        <v>1</v>
      </c>
      <c r="Q25" t="b">
        <f>'3. Hazards'!$G44=Q$1</f>
        <v>0</v>
      </c>
      <c r="R25" t="str">
        <f>IF(ISBLANK('3. Hazards'!H44),"",'3. Hazards'!H44)</f>
        <v>Given the system discharges to the waterway and no soak pit (from the scoping tab) the discuarge of this effluent to stressed waterways may become forbidden. Heat stress causing low river flow also increases impact of effluent compared with high flow periods</v>
      </c>
      <c r="S25" t="str">
        <f t="shared" si="2"/>
        <v>🌵</v>
      </c>
      <c r="T25" t="str">
        <f>IF(AND(C25=1,DF_Calc!C$4=Model_Lists!$A$4),C$1,"")</f>
        <v/>
      </c>
      <c r="U25" t="str">
        <f>IF(AND(D25=1,DF_Calc!D$4=Model_Lists!$A$4),D$1,"")</f>
        <v/>
      </c>
      <c r="V25" t="str">
        <f>IF(AND(E25=1,DF_Calc!E$4=Model_Lists!$A$4),E$1,"")</f>
        <v/>
      </c>
      <c r="W25" t="str">
        <f>IF(AND(F25=1,DF_Calc!F$4=Model_Lists!$A$4),F$1,"")</f>
        <v/>
      </c>
      <c r="X25" t="str">
        <f>IF(AND(G25=1,DF_Calc!G$4=Model_Lists!$A$4),G$1,"")</f>
        <v/>
      </c>
      <c r="Y25" t="str">
        <f>IF(AND(H25=1,DF_Calc!H$4=Model_Lists!$A$4),H$1,"")</f>
        <v>🌵</v>
      </c>
      <c r="Z25" t="str">
        <f>IF(AND(I25=1,DF_Calc!I$4=Model_Lists!$A$4),I$1,"")</f>
        <v/>
      </c>
      <c r="AA25" t="str">
        <f>IF(AND(J25=1,DF_Calc!J$4=Model_Lists!$A$4),J$1,"")</f>
        <v/>
      </c>
    </row>
    <row r="26" spans="1:27">
      <c r="A26" t="s">
        <v>102</v>
      </c>
      <c r="B26" t="s">
        <v>87</v>
      </c>
      <c r="C26">
        <v>1</v>
      </c>
      <c r="D26">
        <v>0</v>
      </c>
      <c r="E26">
        <v>1</v>
      </c>
      <c r="F26">
        <v>1</v>
      </c>
      <c r="G26">
        <v>1</v>
      </c>
      <c r="H26">
        <v>0</v>
      </c>
      <c r="I26">
        <v>0</v>
      </c>
      <c r="J26">
        <v>0</v>
      </c>
      <c r="K26" t="str">
        <f>'3. Hazards'!F45</f>
        <v>✅ Yes</v>
      </c>
      <c r="L26">
        <f t="shared" si="0"/>
        <v>4</v>
      </c>
      <c r="M26" t="str">
        <f>'3. Hazards'!$G45</f>
        <v>Moderate Impact</v>
      </c>
      <c r="N26" t="str">
        <f t="shared" si="1"/>
        <v>Moderate Impact</v>
      </c>
      <c r="O26" t="b">
        <f>'3. Hazards'!$G45=O$1</f>
        <v>0</v>
      </c>
      <c r="P26" t="b">
        <f>'3. Hazards'!$G45=P$1</f>
        <v>1</v>
      </c>
      <c r="Q26" t="b">
        <f>'3. Hazards'!$G45=Q$1</f>
        <v>0</v>
      </c>
      <c r="R26" t="str">
        <f>IF(ISBLANK('3. Hazards'!H45),"",'3. Hazards'!H45)</f>
        <v>If maintenance is needed, such as removing a blockage, the technology would fail without the maintenance people being able to access the technology. As sludge removal is irregular, this is unlikely to be an issue except in a severe incident where emergency maintenance was needed.</v>
      </c>
      <c r="S26" t="str">
        <f t="shared" si="2"/>
        <v>💦🌊🔥💨</v>
      </c>
      <c r="T26" t="str">
        <f>IF(AND(C26=1,DF_Calc!C$4=Model_Lists!$A$4),C$1,"")</f>
        <v>💦</v>
      </c>
      <c r="U26" t="str">
        <f>IF(AND(D26=1,DF_Calc!D$4=Model_Lists!$A$4),D$1,"")</f>
        <v/>
      </c>
      <c r="V26" t="str">
        <f>IF(AND(E26=1,DF_Calc!E$4=Model_Lists!$A$4),E$1,"")</f>
        <v>🌊</v>
      </c>
      <c r="W26" t="str">
        <f>IF(AND(F26=1,DF_Calc!F$4=Model_Lists!$A$4),F$1,"")</f>
        <v>🔥</v>
      </c>
      <c r="X26" t="str">
        <f>IF(AND(G26=1,DF_Calc!G$4=Model_Lists!$A$4),G$1,"")</f>
        <v>💨</v>
      </c>
      <c r="Y26" t="str">
        <f>IF(AND(H26=1,DF_Calc!H$4=Model_Lists!$A$4),H$1,"")</f>
        <v/>
      </c>
      <c r="Z26" t="str">
        <f>IF(AND(I26=1,DF_Calc!I$4=Model_Lists!$A$4),I$1,"")</f>
        <v/>
      </c>
      <c r="AA26" t="str">
        <f>IF(AND(J26=1,DF_Calc!J$4=Model_Lists!$A$4),J$1,"")</f>
        <v/>
      </c>
    </row>
    <row r="27" spans="1:27">
      <c r="A27" t="s">
        <v>125</v>
      </c>
      <c r="B27" t="s">
        <v>306</v>
      </c>
      <c r="C27">
        <v>1</v>
      </c>
      <c r="D27">
        <v>0</v>
      </c>
      <c r="E27">
        <v>1</v>
      </c>
      <c r="F27">
        <v>1</v>
      </c>
      <c r="G27">
        <v>1</v>
      </c>
      <c r="H27">
        <v>0</v>
      </c>
      <c r="I27">
        <v>0</v>
      </c>
      <c r="J27">
        <v>0</v>
      </c>
      <c r="K27" t="str">
        <f>'3. Hazards'!F46</f>
        <v>✅ Yes</v>
      </c>
      <c r="L27">
        <f t="shared" ref="L27:L30" si="3">SUM(C27:J27)</f>
        <v>4</v>
      </c>
      <c r="M27" t="str">
        <f>'3. Hazards'!$G46</f>
        <v>High Impact</v>
      </c>
      <c r="N27" t="str">
        <f t="shared" ref="N27:N30" si="4">IF(M27=0,"-",M27)</f>
        <v>High Impact</v>
      </c>
      <c r="O27" t="b">
        <f>'3. Hazards'!$G46=O$1</f>
        <v>0</v>
      </c>
      <c r="P27" t="b">
        <f>'3. Hazards'!$G46=P$1</f>
        <v>0</v>
      </c>
      <c r="Q27" t="b">
        <f>'3. Hazards'!$G46=Q$1</f>
        <v>1</v>
      </c>
      <c r="R27" t="str">
        <f>IF(ISBLANK('3. Hazards'!H46),"",'3. Hazards'!H46)</f>
        <v>If a blockage causes the ABR to be unable to receive new waste, the technology would not be able to be used at all until it can be access for maintenance</v>
      </c>
      <c r="S27" t="str">
        <f t="shared" si="2"/>
        <v>💦🌊🔥💨</v>
      </c>
      <c r="T27" t="str">
        <f>IF(AND(C27=1,DF_Calc!C$4=Model_Lists!$A$4),C$1,"")</f>
        <v>💦</v>
      </c>
      <c r="U27" t="str">
        <f>IF(AND(D27=1,DF_Calc!D$4=Model_Lists!$A$4),D$1,"")</f>
        <v/>
      </c>
      <c r="V27" t="str">
        <f>IF(AND(E27=1,DF_Calc!E$4=Model_Lists!$A$4),E$1,"")</f>
        <v>🌊</v>
      </c>
      <c r="W27" t="str">
        <f>IF(AND(F27=1,DF_Calc!F$4=Model_Lists!$A$4),F$1,"")</f>
        <v>🔥</v>
      </c>
      <c r="X27" t="str">
        <f>IF(AND(G27=1,DF_Calc!G$4=Model_Lists!$A$4),G$1,"")</f>
        <v>💨</v>
      </c>
      <c r="Y27" t="str">
        <f>IF(AND(H27=1,DF_Calc!H$4=Model_Lists!$A$4),H$1,"")</f>
        <v/>
      </c>
      <c r="Z27" t="str">
        <f>IF(AND(I27=1,DF_Calc!I$4=Model_Lists!$A$4),I$1,"")</f>
        <v/>
      </c>
      <c r="AA27" t="str">
        <f>IF(AND(J27=1,DF_Calc!J$4=Model_Lists!$A$4),J$1,"")</f>
        <v/>
      </c>
    </row>
    <row r="28" spans="1:27">
      <c r="A28" t="s">
        <v>126</v>
      </c>
      <c r="B28" t="s">
        <v>88</v>
      </c>
      <c r="C28">
        <v>1</v>
      </c>
      <c r="D28">
        <v>0</v>
      </c>
      <c r="E28">
        <v>1</v>
      </c>
      <c r="F28">
        <v>1</v>
      </c>
      <c r="G28">
        <v>1</v>
      </c>
      <c r="H28">
        <v>0</v>
      </c>
      <c r="I28">
        <v>0</v>
      </c>
      <c r="J28">
        <v>1</v>
      </c>
      <c r="K28" t="str">
        <f>'3. Hazards'!F47</f>
        <v>✅ Yes</v>
      </c>
      <c r="L28">
        <f t="shared" si="3"/>
        <v>5</v>
      </c>
      <c r="M28" t="str">
        <f>'3. Hazards'!$G47</f>
        <v>Low Impact</v>
      </c>
      <c r="N28" t="str">
        <f t="shared" si="4"/>
        <v>Low Impact</v>
      </c>
      <c r="O28" t="b">
        <f>'3. Hazards'!$G47=O$1</f>
        <v>1</v>
      </c>
      <c r="P28" t="b">
        <f>'3. Hazards'!$G47=P$1</f>
        <v>0</v>
      </c>
      <c r="Q28" t="b">
        <f>'3. Hazards'!$G47=Q$1</f>
        <v>0</v>
      </c>
      <c r="R28" t="str">
        <f>IF(ISBLANK('3. Hazards'!H47),"",'3. Hazards'!H47)</f>
        <v>The technology does not rely on electricity. It is assumed that sewage is fed into the ABR via gravity.</v>
      </c>
      <c r="S28" t="str">
        <f t="shared" si="2"/>
        <v>💦🌊🔥💨☀️</v>
      </c>
      <c r="T28" t="str">
        <f>IF(AND(C28=1,DF_Calc!C$4=Model_Lists!$A$4),C$1,"")</f>
        <v>💦</v>
      </c>
      <c r="U28" t="str">
        <f>IF(AND(D28=1,DF_Calc!D$4=Model_Lists!$A$4),D$1,"")</f>
        <v/>
      </c>
      <c r="V28" t="str">
        <f>IF(AND(E28=1,DF_Calc!E$4=Model_Lists!$A$4),E$1,"")</f>
        <v>🌊</v>
      </c>
      <c r="W28" t="str">
        <f>IF(AND(F28=1,DF_Calc!F$4=Model_Lists!$A$4),F$1,"")</f>
        <v>🔥</v>
      </c>
      <c r="X28" t="str">
        <f>IF(AND(G28=1,DF_Calc!G$4=Model_Lists!$A$4),G$1,"")</f>
        <v>💨</v>
      </c>
      <c r="Y28" t="str">
        <f>IF(AND(H28=1,DF_Calc!H$4=Model_Lists!$A$4),H$1,"")</f>
        <v/>
      </c>
      <c r="Z28" t="str">
        <f>IF(AND(I28=1,DF_Calc!I$4=Model_Lists!$A$4),I$1,"")</f>
        <v/>
      </c>
      <c r="AA28" t="str">
        <f>IF(AND(J28=1,DF_Calc!J$4=Model_Lists!$A$4),J$1,"")</f>
        <v>☀️</v>
      </c>
    </row>
    <row r="29" spans="1:27">
      <c r="A29" t="s">
        <v>127</v>
      </c>
      <c r="B29" t="s">
        <v>166</v>
      </c>
      <c r="C29">
        <v>1</v>
      </c>
      <c r="D29">
        <v>0</v>
      </c>
      <c r="E29">
        <v>1</v>
      </c>
      <c r="F29">
        <v>1</v>
      </c>
      <c r="G29">
        <v>1</v>
      </c>
      <c r="H29">
        <v>0</v>
      </c>
      <c r="I29">
        <v>0</v>
      </c>
      <c r="J29">
        <v>0</v>
      </c>
      <c r="K29" t="str">
        <f>'3. Hazards'!F48</f>
        <v>✅ Yes</v>
      </c>
      <c r="L29">
        <f t="shared" si="3"/>
        <v>4</v>
      </c>
      <c r="M29" t="str">
        <f>'3. Hazards'!$G48</f>
        <v>Moderate Impact</v>
      </c>
      <c r="N29" t="str">
        <f t="shared" si="4"/>
        <v>Moderate Impact</v>
      </c>
      <c r="O29" t="b">
        <f>'3. Hazards'!$G48=O$1</f>
        <v>0</v>
      </c>
      <c r="P29" t="b">
        <f>'3. Hazards'!$G48=P$1</f>
        <v>1</v>
      </c>
      <c r="Q29" t="b">
        <f>'3. Hazards'!$G48=Q$1</f>
        <v>0</v>
      </c>
      <c r="R29" t="str">
        <f>IF(ISBLANK('3. Hazards'!H48),"",'3. Hazards'!H48)</f>
        <v>Depending how badly the ABR needs desludging, performance could be degraded to different levels</v>
      </c>
      <c r="S29" t="str">
        <f t="shared" si="2"/>
        <v>💦🌊🔥💨</v>
      </c>
      <c r="T29" t="str">
        <f>IF(AND(C29=1,DF_Calc!C$4=Model_Lists!$A$4),C$1,"")</f>
        <v>💦</v>
      </c>
      <c r="U29" t="str">
        <f>IF(AND(D29=1,DF_Calc!D$4=Model_Lists!$A$4),D$1,"")</f>
        <v/>
      </c>
      <c r="V29" t="str">
        <f>IF(AND(E29=1,DF_Calc!E$4=Model_Lists!$A$4),E$1,"")</f>
        <v>🌊</v>
      </c>
      <c r="W29" t="str">
        <f>IF(AND(F29=1,DF_Calc!F$4=Model_Lists!$A$4),F$1,"")</f>
        <v>🔥</v>
      </c>
      <c r="X29" t="str">
        <f>IF(AND(G29=1,DF_Calc!G$4=Model_Lists!$A$4),G$1,"")</f>
        <v>💨</v>
      </c>
      <c r="Y29" t="str">
        <f>IF(AND(H29=1,DF_Calc!H$4=Model_Lists!$A$4),H$1,"")</f>
        <v/>
      </c>
      <c r="Z29" t="str">
        <f>IF(AND(I29=1,DF_Calc!I$4=Model_Lists!$A$4),I$1,"")</f>
        <v/>
      </c>
      <c r="AA29" t="str">
        <f>IF(AND(J29=1,DF_Calc!J$4=Model_Lists!$A$4),J$1,"")</f>
        <v/>
      </c>
    </row>
    <row r="30" spans="1:27">
      <c r="A30" t="s">
        <v>305</v>
      </c>
      <c r="B30" t="s">
        <v>89</v>
      </c>
      <c r="C30">
        <v>1</v>
      </c>
      <c r="D30">
        <v>0</v>
      </c>
      <c r="E30">
        <v>1</v>
      </c>
      <c r="F30">
        <v>1</v>
      </c>
      <c r="G30">
        <v>1</v>
      </c>
      <c r="H30">
        <v>1</v>
      </c>
      <c r="I30">
        <v>0</v>
      </c>
      <c r="J30">
        <v>0</v>
      </c>
      <c r="K30" t="str">
        <f>'3. Hazards'!F49</f>
        <v>✅ Yes</v>
      </c>
      <c r="L30">
        <f t="shared" si="3"/>
        <v>5</v>
      </c>
      <c r="M30" t="str">
        <f>'3. Hazards'!$G49</f>
        <v>High Impact</v>
      </c>
      <c r="N30" t="str">
        <f t="shared" si="4"/>
        <v>High Impact</v>
      </c>
      <c r="O30" t="b">
        <f>'3. Hazards'!$G49=O$1</f>
        <v>0</v>
      </c>
      <c r="P30" t="b">
        <f>'3. Hazards'!$G49=P$1</f>
        <v>0</v>
      </c>
      <c r="Q30" t="b">
        <f>'3. Hazards'!$G49=Q$1</f>
        <v>1</v>
      </c>
      <c r="R30" t="str">
        <f>IF(ISBLANK('3. Hazards'!H49),"",'3. Hazards'!H49)</f>
        <v>Faecal waste cannot be moved from the toilet to the ABR without water</v>
      </c>
      <c r="S30" t="str">
        <f t="shared" si="2"/>
        <v>💦🌊🔥💨🌵</v>
      </c>
      <c r="T30" t="str">
        <f>IF(AND(C30=1,DF_Calc!C$4=Model_Lists!$A$4),C$1,"")</f>
        <v>💦</v>
      </c>
      <c r="U30" t="str">
        <f>IF(AND(D30=1,DF_Calc!D$4=Model_Lists!$A$4),D$1,"")</f>
        <v/>
      </c>
      <c r="V30" t="str">
        <f>IF(AND(E30=1,DF_Calc!E$4=Model_Lists!$A$4),E$1,"")</f>
        <v>🌊</v>
      </c>
      <c r="W30" t="str">
        <f>IF(AND(F30=1,DF_Calc!F$4=Model_Lists!$A$4),F$1,"")</f>
        <v>🔥</v>
      </c>
      <c r="X30" t="str">
        <f>IF(AND(G30=1,DF_Calc!G$4=Model_Lists!$A$4),G$1,"")</f>
        <v>💨</v>
      </c>
      <c r="Y30" t="str">
        <f>IF(AND(H30=1,DF_Calc!H$4=Model_Lists!$A$4),H$1,"")</f>
        <v>🌵</v>
      </c>
      <c r="Z30" t="str">
        <f>IF(AND(I30=1,DF_Calc!I$4=Model_Lists!$A$4),I$1,"")</f>
        <v/>
      </c>
      <c r="AA30" t="str">
        <f>IF(AND(J30=1,DF_Calc!J$4=Model_Lists!$A$4),J$1,"")</f>
        <v/>
      </c>
    </row>
    <row r="40" spans="2:2">
      <c r="B40" s="15" t="s">
        <v>287</v>
      </c>
    </row>
    <row r="41" spans="2:2">
      <c r="B41" s="15" t="s">
        <v>288</v>
      </c>
    </row>
    <row r="42" spans="2:2">
      <c r="B42" s="15" t="s">
        <v>216</v>
      </c>
    </row>
    <row r="43" spans="2:2">
      <c r="B43" s="15" t="s">
        <v>190</v>
      </c>
    </row>
    <row r="44" spans="2:2">
      <c r="B44" s="15" t="s">
        <v>215</v>
      </c>
    </row>
    <row r="45" spans="2:2">
      <c r="B45" s="15" t="s">
        <v>289</v>
      </c>
    </row>
    <row r="46" spans="2:2">
      <c r="B46" s="15" t="s">
        <v>192</v>
      </c>
    </row>
    <row r="47" spans="2:2">
      <c r="B47" s="15" t="s">
        <v>213</v>
      </c>
    </row>
    <row r="48" spans="2:2" ht="26">
      <c r="B48" s="87" t="s">
        <v>193</v>
      </c>
    </row>
  </sheetData>
  <customSheetViews>
    <customSheetView guid="{2AB498D9-D32A-4EB2-B4F2-37A196616A87}" state="hidden">
      <selection activeCell="I25" sqref="I25"/>
      <pageMargins left="0.7" right="0.7" top="0.75" bottom="0.75" header="0.3" footer="0.3"/>
    </customSheetView>
  </customSheetViews>
  <phoneticPr fontId="3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rgb="FF009788"/>
    <pageSetUpPr fitToPage="1"/>
  </sheetPr>
  <dimension ref="A1:K19"/>
  <sheetViews>
    <sheetView showGridLines="0" showRowColHeaders="0" zoomScale="85" zoomScaleNormal="85" zoomScalePageLayoutView="77" workbookViewId="0"/>
  </sheetViews>
  <sheetFormatPr baseColWidth="10" defaultColWidth="0" defaultRowHeight="14" zeroHeight="1"/>
  <cols>
    <col min="1" max="1" width="3.33203125" style="8" customWidth="1"/>
    <col min="2" max="2" width="3.5" style="8" customWidth="1"/>
    <col min="3" max="3" width="3.33203125" style="8" customWidth="1"/>
    <col min="4" max="5" width="30.83203125" style="8" customWidth="1"/>
    <col min="6" max="6" width="5.83203125" style="8" customWidth="1"/>
    <col min="7" max="8" width="30.83203125" style="8" customWidth="1"/>
    <col min="9" max="11" width="3.33203125" style="8" customWidth="1"/>
    <col min="12" max="16384" width="8.83203125" style="8" hidden="1"/>
  </cols>
  <sheetData>
    <row r="1" spans="2:11" ht="20" customHeight="1" thickBot="1"/>
    <row r="2" spans="2:11" ht="20" customHeight="1">
      <c r="B2" s="38"/>
      <c r="C2" s="39"/>
      <c r="D2" s="39"/>
      <c r="E2" s="39"/>
      <c r="F2" s="39"/>
      <c r="G2" s="39"/>
      <c r="H2" s="39"/>
      <c r="I2" s="39"/>
      <c r="J2" s="57"/>
    </row>
    <row r="3" spans="2:11" ht="70" customHeight="1">
      <c r="B3" s="40"/>
      <c r="C3" s="322">
        <v>1</v>
      </c>
      <c r="D3" s="42" t="s">
        <v>51</v>
      </c>
      <c r="E3" s="358" t="s">
        <v>296</v>
      </c>
      <c r="F3" s="358"/>
      <c r="G3" s="358"/>
      <c r="H3" s="358"/>
      <c r="I3" s="41"/>
      <c r="J3" s="58"/>
      <c r="K3" s="43"/>
    </row>
    <row r="4" spans="2:11" ht="23">
      <c r="B4" s="40"/>
      <c r="C4" s="44"/>
      <c r="D4" s="304" t="s">
        <v>319</v>
      </c>
      <c r="E4" s="45"/>
      <c r="F4" s="44"/>
      <c r="G4" s="44"/>
      <c r="H4" s="44"/>
      <c r="I4" s="44"/>
      <c r="J4" s="59"/>
      <c r="K4" s="43"/>
    </row>
    <row r="5" spans="2:11" ht="24" thickBot="1">
      <c r="B5" s="40"/>
      <c r="C5" s="46"/>
      <c r="D5" s="47"/>
      <c r="E5" s="46"/>
      <c r="F5" s="46"/>
      <c r="G5" s="46"/>
      <c r="H5" s="46"/>
      <c r="I5" s="46"/>
      <c r="J5" s="58"/>
      <c r="K5" s="43"/>
    </row>
    <row r="6" spans="2:11" s="29" customFormat="1" ht="43" customHeight="1">
      <c r="B6" s="48"/>
      <c r="C6" s="32"/>
      <c r="D6" s="359" t="s">
        <v>333</v>
      </c>
      <c r="E6" s="360"/>
      <c r="F6" s="32"/>
      <c r="G6" s="359" t="s">
        <v>183</v>
      </c>
      <c r="H6" s="360"/>
      <c r="I6" s="32"/>
      <c r="J6" s="60"/>
      <c r="K6" s="49"/>
    </row>
    <row r="7" spans="2:11" s="14" customFormat="1" ht="25" customHeight="1">
      <c r="B7" s="50"/>
      <c r="C7" s="51"/>
      <c r="D7" s="34" t="s">
        <v>228</v>
      </c>
      <c r="E7" s="35" t="s">
        <v>52</v>
      </c>
      <c r="F7" s="33"/>
      <c r="G7" s="34" t="s">
        <v>146</v>
      </c>
      <c r="H7" s="35" t="s">
        <v>180</v>
      </c>
      <c r="I7" s="33"/>
      <c r="J7" s="61"/>
      <c r="K7" s="52"/>
    </row>
    <row r="8" spans="2:11" ht="33" customHeight="1">
      <c r="B8" s="40"/>
      <c r="C8" s="53"/>
      <c r="D8" s="36" t="s">
        <v>185</v>
      </c>
      <c r="E8" s="295" t="s">
        <v>336</v>
      </c>
      <c r="F8" s="12"/>
      <c r="G8" s="356" t="s">
        <v>416</v>
      </c>
      <c r="H8" s="297" t="s">
        <v>342</v>
      </c>
      <c r="I8" s="12"/>
      <c r="J8" s="62"/>
      <c r="K8" s="43"/>
    </row>
    <row r="9" spans="2:11" ht="33" customHeight="1">
      <c r="B9" s="40"/>
      <c r="C9" s="53"/>
      <c r="D9" s="37" t="s">
        <v>184</v>
      </c>
      <c r="E9" s="296">
        <v>45197</v>
      </c>
      <c r="F9" s="12"/>
      <c r="G9" s="356" t="s">
        <v>341</v>
      </c>
      <c r="H9" s="297" t="s">
        <v>342</v>
      </c>
      <c r="I9" s="12"/>
      <c r="J9" s="62"/>
      <c r="K9" s="43"/>
    </row>
    <row r="10" spans="2:11" ht="33" customHeight="1">
      <c r="B10" s="40"/>
      <c r="C10" s="53"/>
      <c r="D10" s="363" t="s">
        <v>186</v>
      </c>
      <c r="E10" s="361" t="s">
        <v>337</v>
      </c>
      <c r="F10" s="12"/>
      <c r="G10" s="298" t="s">
        <v>343</v>
      </c>
      <c r="H10" s="299" t="s">
        <v>342</v>
      </c>
      <c r="I10" s="12"/>
      <c r="J10" s="62"/>
      <c r="K10" s="43"/>
    </row>
    <row r="11" spans="2:11" ht="33" customHeight="1">
      <c r="B11" s="40"/>
      <c r="C11" s="53"/>
      <c r="D11" s="363"/>
      <c r="E11" s="361"/>
      <c r="F11" s="12"/>
      <c r="G11" s="298" t="s">
        <v>417</v>
      </c>
      <c r="H11" s="299" t="s">
        <v>342</v>
      </c>
      <c r="I11" s="12"/>
      <c r="J11" s="62"/>
      <c r="K11" s="43"/>
    </row>
    <row r="12" spans="2:11" ht="33" customHeight="1">
      <c r="B12" s="40"/>
      <c r="C12" s="17"/>
      <c r="D12" s="37" t="s">
        <v>307</v>
      </c>
      <c r="E12" s="355" t="s">
        <v>338</v>
      </c>
      <c r="F12" s="12"/>
      <c r="G12" s="298" t="s">
        <v>344</v>
      </c>
      <c r="H12" s="299" t="s">
        <v>342</v>
      </c>
      <c r="I12" s="12"/>
      <c r="J12" s="62"/>
      <c r="K12" s="43"/>
    </row>
    <row r="13" spans="2:11" ht="33" customHeight="1">
      <c r="B13" s="40"/>
      <c r="C13" s="53"/>
      <c r="D13" s="363" t="s">
        <v>187</v>
      </c>
      <c r="E13" s="361" t="s">
        <v>339</v>
      </c>
      <c r="F13" s="12"/>
      <c r="G13" s="298"/>
      <c r="H13" s="299"/>
      <c r="I13" s="12"/>
      <c r="J13" s="62"/>
      <c r="K13" s="43"/>
    </row>
    <row r="14" spans="2:11" ht="33" customHeight="1">
      <c r="B14" s="40"/>
      <c r="C14" s="53"/>
      <c r="D14" s="363"/>
      <c r="E14" s="361"/>
      <c r="F14" s="54"/>
      <c r="G14" s="300"/>
      <c r="H14" s="299"/>
      <c r="I14" s="12"/>
      <c r="J14" s="62"/>
      <c r="K14" s="43"/>
    </row>
    <row r="15" spans="2:11" ht="33" customHeight="1">
      <c r="B15" s="40"/>
      <c r="C15" s="53"/>
      <c r="D15" s="363" t="s">
        <v>188</v>
      </c>
      <c r="E15" s="361" t="s">
        <v>340</v>
      </c>
      <c r="G15" s="300"/>
      <c r="H15" s="299"/>
      <c r="I15" s="12"/>
      <c r="J15" s="62"/>
      <c r="K15" s="43"/>
    </row>
    <row r="16" spans="2:11" ht="33" customHeight="1" thickBot="1">
      <c r="B16" s="40"/>
      <c r="C16" s="12"/>
      <c r="D16" s="364"/>
      <c r="E16" s="362"/>
      <c r="G16" s="301"/>
      <c r="H16" s="302"/>
      <c r="I16" s="12"/>
      <c r="J16" s="62"/>
      <c r="K16" s="43"/>
    </row>
    <row r="17" spans="2:11" ht="20" customHeight="1">
      <c r="B17" s="40"/>
      <c r="J17" s="43"/>
      <c r="K17" s="43"/>
    </row>
    <row r="18" spans="2:11" ht="20" customHeight="1" thickBot="1">
      <c r="B18" s="55"/>
      <c r="C18" s="56"/>
      <c r="D18" s="56"/>
      <c r="E18" s="56"/>
      <c r="F18" s="56"/>
      <c r="G18" s="56"/>
      <c r="H18" s="56"/>
      <c r="I18" s="56"/>
      <c r="J18" s="63"/>
      <c r="K18" s="43"/>
    </row>
    <row r="19" spans="2:11" ht="22" customHeight="1"/>
  </sheetData>
  <customSheetViews>
    <customSheetView guid="{2AB498D9-D32A-4EB2-B4F2-37A196616A87}">
      <selection activeCell="B11" sqref="B11"/>
      <pageMargins left="0.7" right="0.7" top="0.75" bottom="0.75" header="0.3" footer="0.3"/>
      <pageSetup paperSize="9" orientation="portrait" horizontalDpi="360" verticalDpi="360" r:id="rId1"/>
    </customSheetView>
  </customSheetViews>
  <mergeCells count="9">
    <mergeCell ref="E3:H3"/>
    <mergeCell ref="D6:E6"/>
    <mergeCell ref="G6:H6"/>
    <mergeCell ref="E13:E14"/>
    <mergeCell ref="E15:E16"/>
    <mergeCell ref="D10:D11"/>
    <mergeCell ref="D13:D14"/>
    <mergeCell ref="D15:D16"/>
    <mergeCell ref="E10:E11"/>
  </mergeCells>
  <pageMargins left="0.7" right="0.7" top="0.75" bottom="0.75" header="0.3" footer="0.3"/>
  <pageSetup paperSize="9" scale="82" orientation="landscape" horizontalDpi="360" verticalDpi="36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32869C"/>
    <pageSetUpPr fitToPage="1"/>
  </sheetPr>
  <dimension ref="A1:R16"/>
  <sheetViews>
    <sheetView showGridLines="0" showRowColHeaders="0" showWhiteSpace="0" zoomScale="85" zoomScaleNormal="85" workbookViewId="0"/>
  </sheetViews>
  <sheetFormatPr baseColWidth="10" defaultColWidth="0" defaultRowHeight="14" zeroHeight="1"/>
  <cols>
    <col min="1" max="2" width="3.33203125" style="8" customWidth="1"/>
    <col min="3" max="3" width="7.1640625" style="8" customWidth="1"/>
    <col min="4" max="4" width="44.33203125" style="8" customWidth="1"/>
    <col min="5" max="5" width="16.6640625" style="8" customWidth="1"/>
    <col min="6" max="6" width="49.5" style="8" customWidth="1"/>
    <col min="7" max="9" width="3.33203125" style="8" customWidth="1"/>
    <col min="10" max="18" width="0" style="8" hidden="1" customWidth="1"/>
    <col min="19" max="16384" width="8.83203125" style="8" hidden="1"/>
  </cols>
  <sheetData>
    <row r="1" spans="2:8" ht="20" customHeight="1" thickBot="1"/>
    <row r="2" spans="2:8" ht="20" customHeight="1">
      <c r="B2" s="65"/>
      <c r="C2" s="66"/>
      <c r="D2" s="66"/>
      <c r="E2" s="66"/>
      <c r="F2" s="66"/>
      <c r="G2" s="66"/>
      <c r="H2" s="67"/>
    </row>
    <row r="3" spans="2:8" ht="94" customHeight="1">
      <c r="B3" s="68"/>
      <c r="C3" s="325">
        <v>2</v>
      </c>
      <c r="D3" s="69" t="s">
        <v>229</v>
      </c>
      <c r="E3" s="365" t="s">
        <v>294</v>
      </c>
      <c r="F3" s="365"/>
      <c r="G3" s="70"/>
      <c r="H3" s="71"/>
    </row>
    <row r="4" spans="2:8" s="14" customFormat="1" ht="32.25" customHeight="1">
      <c r="B4" s="72"/>
      <c r="C4" s="367" t="s">
        <v>320</v>
      </c>
      <c r="D4" s="367"/>
      <c r="E4" s="367"/>
      <c r="F4" s="367"/>
      <c r="G4" s="367"/>
      <c r="H4" s="73"/>
    </row>
    <row r="5" spans="2:8" s="14" customFormat="1" ht="20" customHeight="1">
      <c r="B5" s="72"/>
      <c r="C5" s="74"/>
      <c r="D5" s="75"/>
      <c r="E5" s="76"/>
      <c r="F5" s="76"/>
      <c r="G5" s="76"/>
      <c r="H5" s="73"/>
    </row>
    <row r="6" spans="2:8" ht="43" customHeight="1">
      <c r="B6" s="68"/>
      <c r="C6" s="366" t="s">
        <v>230</v>
      </c>
      <c r="D6" s="366"/>
      <c r="E6" s="155" t="s">
        <v>233</v>
      </c>
      <c r="F6" s="155" t="s">
        <v>231</v>
      </c>
      <c r="G6" s="303"/>
      <c r="H6" s="77"/>
    </row>
    <row r="7" spans="2:8" ht="56.25" customHeight="1">
      <c r="B7" s="326"/>
      <c r="C7" s="350" t="s">
        <v>182</v>
      </c>
      <c r="D7" s="28" t="s">
        <v>308</v>
      </c>
      <c r="E7" s="113" t="s">
        <v>217</v>
      </c>
      <c r="F7" s="114" t="s">
        <v>345</v>
      </c>
      <c r="G7" s="18"/>
      <c r="H7" s="78"/>
    </row>
    <row r="8" spans="2:8" ht="45" customHeight="1">
      <c r="B8" s="326"/>
      <c r="C8" s="350" t="s">
        <v>189</v>
      </c>
      <c r="D8" s="28" t="s">
        <v>309</v>
      </c>
      <c r="E8" s="113" t="s">
        <v>217</v>
      </c>
      <c r="F8" s="115" t="s">
        <v>346</v>
      </c>
      <c r="G8" s="64"/>
      <c r="H8" s="79"/>
    </row>
    <row r="9" spans="2:8" ht="53.25" customHeight="1">
      <c r="B9" s="326"/>
      <c r="C9" s="350" t="s">
        <v>216</v>
      </c>
      <c r="D9" s="28" t="s">
        <v>310</v>
      </c>
      <c r="E9" s="113" t="s">
        <v>217</v>
      </c>
      <c r="F9" s="115" t="s">
        <v>347</v>
      </c>
      <c r="G9" s="64"/>
      <c r="H9" s="79"/>
    </row>
    <row r="10" spans="2:8" ht="45" customHeight="1">
      <c r="B10" s="326"/>
      <c r="C10" s="350" t="s">
        <v>190</v>
      </c>
      <c r="D10" s="28" t="s">
        <v>311</v>
      </c>
      <c r="E10" s="113" t="s">
        <v>217</v>
      </c>
      <c r="F10" s="115" t="s">
        <v>348</v>
      </c>
      <c r="G10" s="64"/>
      <c r="H10" s="79"/>
    </row>
    <row r="11" spans="2:8" ht="45" customHeight="1">
      <c r="B11" s="326"/>
      <c r="C11" s="350" t="s">
        <v>215</v>
      </c>
      <c r="D11" s="28" t="s">
        <v>312</v>
      </c>
      <c r="E11" s="113" t="s">
        <v>217</v>
      </c>
      <c r="F11" s="115" t="s">
        <v>349</v>
      </c>
      <c r="G11" s="64"/>
      <c r="H11" s="79"/>
    </row>
    <row r="12" spans="2:8" ht="45" customHeight="1">
      <c r="B12" s="326"/>
      <c r="C12" s="350" t="s">
        <v>191</v>
      </c>
      <c r="D12" s="28" t="s">
        <v>313</v>
      </c>
      <c r="E12" s="113" t="s">
        <v>217</v>
      </c>
      <c r="F12" s="115" t="s">
        <v>350</v>
      </c>
      <c r="G12" s="64"/>
      <c r="H12" s="79"/>
    </row>
    <row r="13" spans="2:8" ht="45" customHeight="1">
      <c r="B13" s="326"/>
      <c r="C13" s="350" t="s">
        <v>192</v>
      </c>
      <c r="D13" s="28" t="s">
        <v>314</v>
      </c>
      <c r="E13" s="113" t="s">
        <v>217</v>
      </c>
      <c r="F13" s="115" t="s">
        <v>351</v>
      </c>
      <c r="G13" s="64"/>
      <c r="H13" s="79"/>
    </row>
    <row r="14" spans="2:8" ht="45" customHeight="1">
      <c r="B14" s="326"/>
      <c r="C14" s="350" t="s">
        <v>213</v>
      </c>
      <c r="D14" s="28" t="s">
        <v>315</v>
      </c>
      <c r="E14" s="113" t="s">
        <v>217</v>
      </c>
      <c r="F14" s="115" t="s">
        <v>352</v>
      </c>
      <c r="G14" s="64"/>
      <c r="H14" s="79"/>
    </row>
    <row r="15" spans="2:8" ht="20" customHeight="1" thickBot="1">
      <c r="B15" s="80"/>
      <c r="C15" s="81"/>
      <c r="D15" s="86"/>
      <c r="E15" s="82"/>
      <c r="F15" s="83"/>
      <c r="G15" s="83"/>
      <c r="H15" s="84"/>
    </row>
    <row r="16" spans="2:8" ht="20" customHeight="1">
      <c r="C16" s="19"/>
      <c r="D16" s="85"/>
      <c r="E16" s="13"/>
      <c r="F16" s="64"/>
      <c r="G16" s="64"/>
      <c r="H16" s="64"/>
    </row>
  </sheetData>
  <customSheetViews>
    <customSheetView guid="{2AB498D9-D32A-4EB2-B4F2-37A196616A87}" hiddenColumns="1">
      <selection activeCell="J10" sqref="J10"/>
      <pageMargins left="0.7" right="0.7" top="0.75" bottom="0.75" header="0.3" footer="0.3"/>
      <pageSetup paperSize="9" orientation="portrait" r:id="rId1"/>
    </customSheetView>
  </customSheetViews>
  <mergeCells count="3">
    <mergeCell ref="E3:F3"/>
    <mergeCell ref="C6:D6"/>
    <mergeCell ref="C4:G4"/>
  </mergeCells>
  <conditionalFormatting sqref="C7:D14">
    <cfRule type="expression" dxfId="43" priority="7">
      <formula>$E7="⛔️ No"</formula>
    </cfRule>
  </conditionalFormatting>
  <conditionalFormatting sqref="F7:F14">
    <cfRule type="expression" dxfId="42" priority="3">
      <formula>$E7="⛔️ No"</formula>
    </cfRule>
  </conditionalFormatting>
  <dataValidations xWindow="646" yWindow="686" count="3">
    <dataValidation type="list" allowBlank="1" showInputMessage="1" showErrorMessage="1" promptTitle="&lt; Select Relevance &gt;" prompt="Yes - CID is relevant_x000a_No - CID is not relevant" sqref="E15:E16" xr:uid="{010B8C74-D562-EB47-8BE7-3B49CEEC54DB}">
      <formula1>"Yes, No"</formula1>
    </dataValidation>
    <dataValidation type="list" allowBlank="1" showInputMessage="1" showErrorMessage="1" promptTitle="&lt; Select Relevance &gt;" prompt="Yes - CID is relevant_x000a__x000a_No - CID is not relevant" sqref="E8:E14" xr:uid="{0961AF1F-C131-C247-A06B-10AD2087E86D}">
      <formula1>"✅ Yes, ⛔️ No"</formula1>
    </dataValidation>
    <dataValidation type="list" allowBlank="1" showInputMessage="1" showErrorMessage="1" promptTitle="&lt; Select Relevance &gt;" prompt="Yes - HET is relevant_x000a__x000a_No - HET is not relevant" sqref="E7" xr:uid="{04B7EE3F-B048-4AED-8F84-33D60FF2F083}">
      <formula1>"✅ Yes, ⛔️ No"</formula1>
    </dataValidation>
  </dataValidations>
  <pageMargins left="0.7" right="0.7" top="0.75" bottom="0.75" header="0.3" footer="0.3"/>
  <pageSetup paperSize="9" scale="66" fitToHeight="0" orientation="portrait"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2096F3"/>
  </sheetPr>
  <dimension ref="A1:XFC70"/>
  <sheetViews>
    <sheetView showGridLines="0" showRowColHeaders="0" zoomScale="70" zoomScaleNormal="70" workbookViewId="0">
      <pane ySplit="19" topLeftCell="A20" activePane="bottomLeft" state="frozen"/>
      <selection pane="bottomLeft"/>
    </sheetView>
  </sheetViews>
  <sheetFormatPr baseColWidth="10" defaultColWidth="0" defaultRowHeight="14" zeroHeight="1"/>
  <cols>
    <col min="1" max="2" width="3.33203125" style="8" customWidth="1"/>
    <col min="3" max="3" width="5.33203125" style="8" customWidth="1"/>
    <col min="4" max="4" width="43.6640625" style="9" customWidth="1"/>
    <col min="5" max="5" width="37.83203125" style="11" customWidth="1"/>
    <col min="6" max="6" width="17.83203125" style="8" customWidth="1"/>
    <col min="7" max="7" width="29.33203125" style="11" customWidth="1"/>
    <col min="8" max="8" width="81.1640625" style="9" customWidth="1"/>
    <col min="9" max="9" width="3.33203125" style="9" customWidth="1"/>
    <col min="10" max="11" width="3.33203125" style="8" customWidth="1"/>
    <col min="12" max="16383" width="8.83203125" style="8" hidden="1"/>
    <col min="16384" max="16384" width="42.33203125" style="8" hidden="1" customWidth="1"/>
  </cols>
  <sheetData>
    <row r="1" spans="2:10" ht="20" customHeight="1" thickBot="1"/>
    <row r="2" spans="2:10" ht="20" customHeight="1">
      <c r="B2" s="88"/>
      <c r="C2" s="89"/>
      <c r="D2" s="90"/>
      <c r="E2" s="91"/>
      <c r="F2" s="89"/>
      <c r="G2" s="91"/>
      <c r="H2" s="90"/>
      <c r="I2" s="90"/>
      <c r="J2" s="92"/>
    </row>
    <row r="3" spans="2:10" ht="20" customHeight="1">
      <c r="B3" s="93"/>
      <c r="C3" s="323"/>
      <c r="D3" s="200"/>
      <c r="E3" s="201"/>
      <c r="F3" s="224"/>
      <c r="G3" s="201"/>
      <c r="H3" s="200"/>
      <c r="I3" s="200"/>
      <c r="J3" s="94"/>
    </row>
    <row r="4" spans="2:10" ht="15" customHeight="1">
      <c r="B4" s="93"/>
      <c r="C4" s="368">
        <v>3</v>
      </c>
      <c r="D4" s="370" t="s">
        <v>50</v>
      </c>
      <c r="E4" s="371" t="s">
        <v>295</v>
      </c>
      <c r="F4" s="371"/>
      <c r="G4" s="371"/>
      <c r="H4" s="225" t="s">
        <v>334</v>
      </c>
      <c r="I4" s="200"/>
      <c r="J4" s="94"/>
    </row>
    <row r="5" spans="2:10" ht="15" customHeight="1">
      <c r="B5" s="93"/>
      <c r="C5" s="368"/>
      <c r="D5" s="370"/>
      <c r="E5" s="371"/>
      <c r="F5" s="371"/>
      <c r="G5" s="371"/>
      <c r="H5" s="310" t="s">
        <v>194</v>
      </c>
      <c r="I5" s="200"/>
      <c r="J5" s="94"/>
    </row>
    <row r="6" spans="2:10" ht="15" customHeight="1">
      <c r="B6" s="93"/>
      <c r="C6" s="368"/>
      <c r="D6" s="370"/>
      <c r="E6" s="371"/>
      <c r="F6" s="371"/>
      <c r="G6" s="371"/>
      <c r="H6" s="310" t="s">
        <v>200</v>
      </c>
      <c r="I6" s="200"/>
      <c r="J6" s="94"/>
    </row>
    <row r="7" spans="2:10" ht="15" customHeight="1">
      <c r="B7" s="93"/>
      <c r="C7" s="368"/>
      <c r="D7" s="370"/>
      <c r="E7" s="371"/>
      <c r="F7" s="371"/>
      <c r="G7" s="371"/>
      <c r="H7" s="310" t="s">
        <v>221</v>
      </c>
      <c r="I7" s="200"/>
      <c r="J7" s="94"/>
    </row>
    <row r="8" spans="2:10" ht="15" customHeight="1">
      <c r="B8" s="93"/>
      <c r="C8" s="368"/>
      <c r="D8" s="370"/>
      <c r="E8" s="371"/>
      <c r="F8" s="371"/>
      <c r="G8" s="371"/>
      <c r="H8" s="310" t="s">
        <v>195</v>
      </c>
      <c r="I8" s="200"/>
      <c r="J8" s="94"/>
    </row>
    <row r="9" spans="2:10" ht="15" customHeight="1">
      <c r="B9" s="93"/>
      <c r="C9" s="368"/>
      <c r="D9" s="370"/>
      <c r="E9" s="371"/>
      <c r="F9" s="371"/>
      <c r="G9" s="371"/>
      <c r="H9" s="310" t="s">
        <v>220</v>
      </c>
      <c r="I9" s="200"/>
      <c r="J9" s="94"/>
    </row>
    <row r="10" spans="2:10" ht="15" customHeight="1">
      <c r="B10" s="93"/>
      <c r="C10" s="368"/>
      <c r="D10" s="370"/>
      <c r="E10" s="371"/>
      <c r="F10" s="371"/>
      <c r="G10" s="371"/>
      <c r="H10" s="310" t="s">
        <v>197</v>
      </c>
      <c r="I10" s="200"/>
      <c r="J10" s="94"/>
    </row>
    <row r="11" spans="2:10" ht="15" customHeight="1">
      <c r="B11" s="93"/>
      <c r="C11" s="368"/>
      <c r="D11" s="370"/>
      <c r="E11" s="371"/>
      <c r="F11" s="371"/>
      <c r="G11" s="371"/>
      <c r="H11" s="310" t="s">
        <v>198</v>
      </c>
      <c r="I11" s="200"/>
      <c r="J11" s="94"/>
    </row>
    <row r="12" spans="2:10" ht="15" customHeight="1">
      <c r="B12" s="93"/>
      <c r="C12" s="368"/>
      <c r="D12" s="370"/>
      <c r="E12" s="371"/>
      <c r="F12" s="371"/>
      <c r="G12" s="371"/>
      <c r="H12" s="310" t="s">
        <v>214</v>
      </c>
      <c r="I12" s="200"/>
      <c r="J12" s="94"/>
    </row>
    <row r="13" spans="2:10" ht="15" customHeight="1">
      <c r="B13" s="93"/>
      <c r="C13" s="368"/>
      <c r="D13" s="370"/>
      <c r="E13" s="371"/>
      <c r="F13" s="371"/>
      <c r="G13" s="371"/>
      <c r="H13" s="200"/>
      <c r="I13" s="200"/>
      <c r="J13" s="94"/>
    </row>
    <row r="14" spans="2:10" ht="4.5" customHeight="1">
      <c r="B14" s="93"/>
      <c r="C14" s="368"/>
      <c r="D14" s="370"/>
      <c r="E14" s="371"/>
      <c r="F14" s="371"/>
      <c r="G14" s="371"/>
      <c r="H14" s="200"/>
      <c r="I14" s="200"/>
      <c r="J14" s="94"/>
    </row>
    <row r="15" spans="2:10" ht="79.25" customHeight="1">
      <c r="B15" s="93"/>
      <c r="C15" s="226"/>
      <c r="D15" s="372" t="s">
        <v>321</v>
      </c>
      <c r="E15" s="372"/>
      <c r="F15" s="372"/>
      <c r="G15" s="372"/>
      <c r="H15" s="372"/>
      <c r="I15" s="227"/>
      <c r="J15" s="94"/>
    </row>
    <row r="16" spans="2:10" ht="15" customHeight="1">
      <c r="B16" s="93"/>
      <c r="C16" s="228"/>
      <c r="D16" s="369"/>
      <c r="E16" s="369"/>
      <c r="F16" s="369"/>
      <c r="G16" s="369"/>
      <c r="H16" s="369"/>
      <c r="I16" s="229"/>
      <c r="J16" s="94"/>
    </row>
    <row r="17" spans="2:11" ht="5.5" customHeight="1">
      <c r="B17" s="93"/>
      <c r="C17" s="230"/>
      <c r="D17" s="95"/>
      <c r="E17" s="95"/>
      <c r="F17" s="95"/>
      <c r="G17" s="95"/>
      <c r="H17" s="96"/>
      <c r="I17" s="96"/>
      <c r="J17" s="94"/>
    </row>
    <row r="18" spans="2:11" ht="5" customHeight="1">
      <c r="B18" s="93"/>
      <c r="C18" s="231"/>
      <c r="D18" s="97"/>
      <c r="E18" s="232"/>
      <c r="F18" s="99"/>
      <c r="G18" s="100"/>
      <c r="H18" s="98"/>
      <c r="I18" s="98"/>
      <c r="J18" s="94"/>
    </row>
    <row r="19" spans="2:11" ht="24" customHeight="1">
      <c r="B19" s="93"/>
      <c r="C19" s="231"/>
      <c r="D19" s="99" t="s">
        <v>36</v>
      </c>
      <c r="E19" s="233" t="s">
        <v>249</v>
      </c>
      <c r="F19" s="99" t="s">
        <v>242</v>
      </c>
      <c r="G19" s="99" t="s">
        <v>243</v>
      </c>
      <c r="H19" s="99" t="s">
        <v>210</v>
      </c>
      <c r="I19" s="99"/>
      <c r="J19" s="94"/>
      <c r="K19" s="240"/>
    </row>
    <row r="20" spans="2:11" ht="3" customHeight="1">
      <c r="B20" s="93"/>
      <c r="J20" s="234"/>
    </row>
    <row r="21" spans="2:11" ht="30" customHeight="1">
      <c r="B21" s="93"/>
      <c r="C21" s="235" cm="1">
        <f t="array" ref="C21">IFERROR(IF(F21=Model_Lists!$A$4,1,IF(F21=Model_Lists!$A$5,0,IF(FilterHazard=Model_Lists!$J$3,((SUM((Hazard_Calc!C2:J2)*TRANSPOSE(OverView_Calc!$B$2:$B$9)))&gt;0)*1,INDEX(Hazard_Calc!C2:J2,MATCH(FilterHazard,Model_Lists!$J$4:$J$11,0))))),1)</f>
        <v>0</v>
      </c>
      <c r="D21" s="106" t="s">
        <v>297</v>
      </c>
      <c r="E21" s="349" t="str">
        <f>Hazard_Calc!S2</f>
        <v>💦</v>
      </c>
      <c r="F21" s="198" t="s">
        <v>225</v>
      </c>
      <c r="G21" s="112"/>
      <c r="H21" s="204"/>
      <c r="I21" s="237"/>
      <c r="J21" s="236" t="b">
        <f>AND('3. Hazards'!F21=INDEX(RatingOptionSelect,2), OR('3. Hazards'!G21="Moderate Impact",'3. Hazards'!G21="High Impact"))</f>
        <v>0</v>
      </c>
    </row>
    <row r="22" spans="2:11" ht="30" customHeight="1">
      <c r="B22" s="93"/>
      <c r="C22" s="235" cm="1">
        <f t="array" ref="C22">IFERROR(IF(F22=Model_Lists!$A$4,1,IF(F22=Model_Lists!$A$5,0,IF(FilterHazard=Model_Lists!$J$3,((SUM((Hazard_Calc!C3:J3)*TRANSPOSE(OverView_Calc!$B$2:$B$9)))&gt;0)*1,INDEX(Hazard_Calc!C3:J3,MATCH(FilterHazard,Model_Lists!$J$4:$J$11,0))))),1)</f>
        <v>1</v>
      </c>
      <c r="D22" s="107" t="s">
        <v>90</v>
      </c>
      <c r="E22" s="353" t="str">
        <f>Hazard_Calc!S3</f>
        <v>🌊🌵</v>
      </c>
      <c r="F22" s="198" t="s">
        <v>217</v>
      </c>
      <c r="G22" s="109" t="s">
        <v>169</v>
      </c>
      <c r="H22" s="246" t="s">
        <v>353</v>
      </c>
      <c r="I22" s="237"/>
      <c r="J22" s="236" t="b">
        <f>AND('3. Hazards'!F22=INDEX(RatingOptionSelect,2), OR('3. Hazards'!G22="Moderate Impact",'3. Hazards'!G22="High Impact"))</f>
        <v>1</v>
      </c>
    </row>
    <row r="23" spans="2:11" ht="30" customHeight="1">
      <c r="B23" s="93"/>
      <c r="C23" s="235" cm="1">
        <f t="array" ref="C23">IFERROR(IF(F23=Model_Lists!$A$4,1,IF(F23=Model_Lists!$A$5,0,IF(FilterHazard=Model_Lists!$J$3,((SUM((Hazard_Calc!C4:J4)*TRANSPOSE(OverView_Calc!$B$2:$B$9)))&gt;0)*1,INDEX(Hazard_Calc!C4:J4,MATCH(FilterHazard,Model_Lists!$J$4:$J$11,0))))),1)</f>
        <v>1</v>
      </c>
      <c r="D23" s="107" t="s">
        <v>3</v>
      </c>
      <c r="E23" s="353" t="str">
        <f>Hazard_Calc!S4</f>
        <v>💦🌊</v>
      </c>
      <c r="F23" s="198" t="s">
        <v>217</v>
      </c>
      <c r="G23" s="109" t="s">
        <v>169</v>
      </c>
      <c r="H23" s="246" t="s">
        <v>354</v>
      </c>
      <c r="I23" s="237"/>
      <c r="J23" s="236" t="b">
        <f>AND('3. Hazards'!F23=INDEX(RatingOptionSelect,2), OR('3. Hazards'!G23="Moderate Impact",'3. Hazards'!G23="High Impact"))</f>
        <v>1</v>
      </c>
    </row>
    <row r="24" spans="2:11" ht="30" customHeight="1">
      <c r="B24" s="93"/>
      <c r="C24" s="235" cm="1">
        <f t="array" ref="C24">IFERROR(IF(F24=Model_Lists!$A$4,1,IF(F24=Model_Lists!$A$5,0,IF(FilterHazard=Model_Lists!$J$3,((SUM((Hazard_Calc!C5:J5)*TRANSPOSE(OverView_Calc!$B$2:$B$9)))&gt;0)*1,INDEX(Hazard_Calc!C5:J5,MATCH(FilterHazard,Model_Lists!$J$4:$J$11,0))))),1)</f>
        <v>1</v>
      </c>
      <c r="D24" s="107" t="s">
        <v>298</v>
      </c>
      <c r="E24" s="353" t="str">
        <f>Hazard_Calc!S5</f>
        <v>🌧🌊🌵🌡</v>
      </c>
      <c r="F24" s="198" t="s">
        <v>217</v>
      </c>
      <c r="G24" s="109" t="s">
        <v>168</v>
      </c>
      <c r="H24" s="246" t="s">
        <v>355</v>
      </c>
      <c r="I24" s="237"/>
      <c r="J24" s="236" t="b">
        <f>AND('3. Hazards'!F24=INDEX(RatingOptionSelect,2), OR('3. Hazards'!G24="Moderate Impact",'3. Hazards'!G24="High Impact"))</f>
        <v>0</v>
      </c>
    </row>
    <row r="25" spans="2:11" ht="30" customHeight="1">
      <c r="B25" s="93"/>
      <c r="C25" s="235" cm="1">
        <f t="array" ref="C25">IFERROR(IF(F25=Model_Lists!$A$4,1,IF(F25=Model_Lists!$A$5,0,IF(FilterHazard=Model_Lists!$J$3,((SUM((Hazard_Calc!C6:J6)*TRANSPOSE(OverView_Calc!$B$2:$B$9)))&gt;0)*1,INDEX(Hazard_Calc!C6:J6,MATCH(FilterHazard,Model_Lists!$J$4:$J$11,0))))),1)</f>
        <v>1</v>
      </c>
      <c r="D25" s="107" t="s">
        <v>91</v>
      </c>
      <c r="E25" s="353" t="str">
        <f>Hazard_Calc!S6</f>
        <v>🔥</v>
      </c>
      <c r="F25" s="198" t="s">
        <v>217</v>
      </c>
      <c r="G25" s="110" t="s">
        <v>168</v>
      </c>
      <c r="H25" s="246" t="s">
        <v>356</v>
      </c>
      <c r="I25" s="237"/>
      <c r="J25" s="236" t="b">
        <f>AND('3. Hazards'!F25=INDEX(RatingOptionSelect,2), OR('3. Hazards'!G25="Moderate Impact",'3. Hazards'!G25="High Impact"))</f>
        <v>0</v>
      </c>
    </row>
    <row r="26" spans="2:11" ht="30" customHeight="1">
      <c r="B26" s="93"/>
      <c r="C26" s="235" cm="1">
        <f t="array" ref="C26">IFERROR(IF(F26=Model_Lists!$A$4,1,IF(F26=Model_Lists!$A$5,0,IF(FilterHazard=Model_Lists!$J$3,((SUM((Hazard_Calc!C7:J7)*TRANSPOSE(OverView_Calc!$B$2:$B$9)))&gt;0)*1,INDEX(Hazard_Calc!C7:J7,MATCH(FilterHazard,Model_Lists!$J$4:$J$11,0))))),1)</f>
        <v>1</v>
      </c>
      <c r="D26" s="107" t="s">
        <v>92</v>
      </c>
      <c r="E26" s="353" t="str">
        <f>Hazard_Calc!S7</f>
        <v>💦🌊</v>
      </c>
      <c r="F26" s="198" t="s">
        <v>217</v>
      </c>
      <c r="G26" s="110" t="s">
        <v>169</v>
      </c>
      <c r="H26" s="246" t="s">
        <v>357</v>
      </c>
      <c r="I26" s="237"/>
      <c r="J26" s="236" t="b">
        <f>AND('3. Hazards'!F26=INDEX(RatingOptionSelect,2), OR('3. Hazards'!G26="Moderate Impact",'3. Hazards'!G26="High Impact"))</f>
        <v>1</v>
      </c>
    </row>
    <row r="27" spans="2:11" ht="30" customHeight="1">
      <c r="B27" s="93"/>
      <c r="C27" s="235" cm="1">
        <f t="array" ref="C27">IFERROR(IF(F27=Model_Lists!$A$4,1,IF(F27=Model_Lists!$A$5,0,IF(FilterHazard=Model_Lists!$J$3,((SUM((Hazard_Calc!C8:J8)*TRANSPOSE(OverView_Calc!$B$2:$B$9)))&gt;0)*1,INDEX(Hazard_Calc!C8:J8,MATCH(FilterHazard,Model_Lists!$J$4:$J$11,0))))),1)</f>
        <v>1</v>
      </c>
      <c r="D27" s="107" t="s">
        <v>82</v>
      </c>
      <c r="E27" s="353" t="str">
        <f>Hazard_Calc!S8</f>
        <v>💦🌊</v>
      </c>
      <c r="F27" s="198" t="s">
        <v>217</v>
      </c>
      <c r="G27" s="110" t="s">
        <v>169</v>
      </c>
      <c r="H27" s="246" t="s">
        <v>363</v>
      </c>
      <c r="I27" s="237"/>
      <c r="J27" s="236" t="b">
        <f>AND('3. Hazards'!F27=INDEX(RatingOptionSelect,2), OR('3. Hazards'!G27="Moderate Impact",'3. Hazards'!G27="High Impact"))</f>
        <v>1</v>
      </c>
    </row>
    <row r="28" spans="2:11" ht="30" customHeight="1">
      <c r="B28" s="93"/>
      <c r="C28" s="235" cm="1">
        <f t="array" ref="C28">IFERROR(IF(F28=Model_Lists!$A$4,1,IF(F28=Model_Lists!$A$5,0,IF(FilterHazard=Model_Lists!$J$3,((SUM((Hazard_Calc!C9:J9)*TRANSPOSE(OverView_Calc!$B$2:$B$9)))&gt;0)*1,INDEX(Hazard_Calc!C9:J9,MATCH(FilterHazard,Model_Lists!$J$4:$J$11,0))))),1)</f>
        <v>1</v>
      </c>
      <c r="D28" s="107" t="s">
        <v>83</v>
      </c>
      <c r="E28" s="353" t="str">
        <f>Hazard_Calc!S9</f>
        <v>💦🌊</v>
      </c>
      <c r="F28" s="198" t="s">
        <v>217</v>
      </c>
      <c r="G28" s="110" t="s">
        <v>169</v>
      </c>
      <c r="H28" s="246" t="s">
        <v>363</v>
      </c>
      <c r="I28" s="237"/>
      <c r="J28" s="236" t="b">
        <f>AND('3. Hazards'!F28=INDEX(RatingOptionSelect,2), OR('3. Hazards'!G28="Moderate Impact",'3. Hazards'!G28="High Impact"))</f>
        <v>1</v>
      </c>
    </row>
    <row r="29" spans="2:11" ht="30" customHeight="1">
      <c r="B29" s="93"/>
      <c r="C29" s="235" cm="1">
        <f t="array" ref="C29">IFERROR(IF(F29=Model_Lists!$A$4,1,IF(F29=Model_Lists!$A$5,0,IF(FilterHazard=Model_Lists!$J$3,((SUM((Hazard_Calc!C10:J10)*TRANSPOSE(OverView_Calc!$B$2:$B$9)))&gt;0)*1,INDEX(Hazard_Calc!C10:J10,MATCH(FilterHazard,Model_Lists!$J$4:$J$11,0))))),1)</f>
        <v>1</v>
      </c>
      <c r="D29" s="107" t="s">
        <v>2</v>
      </c>
      <c r="E29" s="353" t="str">
        <f>Hazard_Calc!S10</f>
        <v>💦</v>
      </c>
      <c r="F29" s="198" t="s">
        <v>217</v>
      </c>
      <c r="G29" s="110" t="s">
        <v>169</v>
      </c>
      <c r="H29" s="246" t="s">
        <v>358</v>
      </c>
      <c r="I29" s="237"/>
      <c r="J29" s="236" t="b">
        <f>AND('3. Hazards'!F29=INDEX(RatingOptionSelect,2), OR('3. Hazards'!G29="Moderate Impact",'3. Hazards'!G29="High Impact"))</f>
        <v>1</v>
      </c>
    </row>
    <row r="30" spans="2:11" ht="30" customHeight="1">
      <c r="B30" s="93"/>
      <c r="C30" s="235" cm="1">
        <f t="array" ref="C30">IFERROR(IF(F30=Model_Lists!$A$4,1,IF(F30=Model_Lists!$A$5,0,IF(FilterHazard=Model_Lists!$J$3,((SUM((Hazard_Calc!C11:J11)*TRANSPOSE(OverView_Calc!$B$2:$B$9)))&gt;0)*1,INDEX(Hazard_Calc!C11:J11,MATCH(FilterHazard,Model_Lists!$J$4:$J$11,0))))),1)</f>
        <v>1</v>
      </c>
      <c r="D30" s="107" t="s">
        <v>86</v>
      </c>
      <c r="E30" s="353" t="str">
        <f>Hazard_Calc!S11</f>
        <v>🌵</v>
      </c>
      <c r="F30" s="198" t="s">
        <v>217</v>
      </c>
      <c r="G30" s="110" t="s">
        <v>168</v>
      </c>
      <c r="H30" s="246" t="s">
        <v>365</v>
      </c>
      <c r="I30" s="237"/>
      <c r="J30" s="236" t="b">
        <f>AND('3. Hazards'!F30=INDEX(RatingOptionSelect,2), OR('3. Hazards'!G30="Moderate Impact",'3. Hazards'!G30="High Impact"))</f>
        <v>0</v>
      </c>
    </row>
    <row r="31" spans="2:11" ht="30" customHeight="1">
      <c r="B31" s="93"/>
      <c r="C31" s="235" cm="1">
        <f t="array" ref="C31">IFERROR(IF(F31=Model_Lists!$A$4,1,IF(F31=Model_Lists!$A$5,0,IF(FilterHazard=Model_Lists!$J$3,((SUM((Hazard_Calc!C12:J12)*TRANSPOSE(OverView_Calc!$B$2:$B$9)))&gt;0)*1,INDEX(Hazard_Calc!C12:J12,MATCH(FilterHazard,Model_Lists!$J$4:$J$11,0))))),1)</f>
        <v>1</v>
      </c>
      <c r="D31" s="107" t="s">
        <v>71</v>
      </c>
      <c r="E31" s="353" t="str">
        <f>Hazard_Calc!S12</f>
        <v>🌵</v>
      </c>
      <c r="F31" s="198" t="s">
        <v>217</v>
      </c>
      <c r="G31" s="110" t="s">
        <v>169</v>
      </c>
      <c r="H31" s="246" t="s">
        <v>364</v>
      </c>
      <c r="I31" s="237"/>
      <c r="J31" s="236" t="b">
        <f>AND('3. Hazards'!F31=INDEX(RatingOptionSelect,2), OR('3. Hazards'!G31="Moderate Impact",'3. Hazards'!G31="High Impact"))</f>
        <v>1</v>
      </c>
    </row>
    <row r="32" spans="2:11" ht="30" customHeight="1">
      <c r="B32" s="93"/>
      <c r="C32" s="235" cm="1">
        <f t="array" ref="C32">IFERROR(IF(F32=Model_Lists!$A$4,1,IF(F32=Model_Lists!$A$5,0,IF(FilterHazard=Model_Lists!$J$3,((SUM((Hazard_Calc!C13:J13)*TRANSPOSE(OverView_Calc!$B$2:$B$9)))&gt;0)*1,INDEX(Hazard_Calc!C13:J13,MATCH(FilterHazard,Model_Lists!$J$4:$J$11,0))))),1)</f>
        <v>1</v>
      </c>
      <c r="D32" s="107" t="s">
        <v>72</v>
      </c>
      <c r="E32" s="353" t="str">
        <f>Hazard_Calc!S13</f>
        <v>💦🌧🌊</v>
      </c>
      <c r="F32" s="198" t="s">
        <v>217</v>
      </c>
      <c r="G32" s="110" t="s">
        <v>169</v>
      </c>
      <c r="H32" s="246" t="s">
        <v>353</v>
      </c>
      <c r="I32" s="237"/>
      <c r="J32" s="236" t="b">
        <f>AND('3. Hazards'!F32=INDEX(RatingOptionSelect,2), OR('3. Hazards'!G32="Moderate Impact",'3. Hazards'!G32="High Impact"))</f>
        <v>1</v>
      </c>
    </row>
    <row r="33" spans="2:10" ht="30" customHeight="1">
      <c r="B33" s="93"/>
      <c r="C33" s="235" cm="1">
        <f t="array" ref="C33">IFERROR(IF(F33=Model_Lists!$A$4,1,IF(F33=Model_Lists!$A$5,0,IF(FilterHazard=Model_Lists!$J$3,((SUM((Hazard_Calc!C14:J14)*TRANSPOSE(OverView_Calc!$B$2:$B$9)))&gt;0)*1,INDEX(Hazard_Calc!C14:J14,MATCH(FilterHazard,Model_Lists!$J$4:$J$11,0))))),1)</f>
        <v>0</v>
      </c>
      <c r="D33" s="107" t="s">
        <v>299</v>
      </c>
      <c r="E33" s="353" t="str">
        <f>Hazard_Calc!S14</f>
        <v>🔥🌡☀️</v>
      </c>
      <c r="F33" s="198" t="s">
        <v>225</v>
      </c>
      <c r="G33" s="110"/>
      <c r="H33" s="246"/>
      <c r="I33" s="237"/>
      <c r="J33" s="236" t="b">
        <f>AND('3. Hazards'!F33=INDEX(RatingOptionSelect,2), OR('3. Hazards'!G33="Moderate Impact",'3. Hazards'!G33="High Impact"))</f>
        <v>0</v>
      </c>
    </row>
    <row r="34" spans="2:10" ht="30" customHeight="1">
      <c r="B34" s="93"/>
      <c r="C34" s="235" cm="1">
        <f t="array" ref="C34">IFERROR(IF(F34=Model_Lists!$A$4,1,IF(F34=Model_Lists!$A$5,0,IF(FilterHazard=Model_Lists!$J$3,((SUM((Hazard_Calc!C15:J15)*TRANSPOSE(OverView_Calc!$B$2:$B$9)))&gt;0)*1,INDEX(Hazard_Calc!C15:J15,MATCH(FilterHazard,Model_Lists!$J$4:$J$11,0))))),1)</f>
        <v>1</v>
      </c>
      <c r="D34" s="107" t="s">
        <v>300</v>
      </c>
      <c r="E34" s="353" t="str">
        <f>Hazard_Calc!S15</f>
        <v>💨</v>
      </c>
      <c r="F34" s="198" t="s">
        <v>217</v>
      </c>
      <c r="G34" s="110" t="s">
        <v>168</v>
      </c>
      <c r="H34" s="246" t="s">
        <v>359</v>
      </c>
      <c r="I34" s="237"/>
      <c r="J34" s="236" t="b">
        <f>AND('3. Hazards'!F34=INDEX(RatingOptionSelect,2), OR('3. Hazards'!G34="Moderate Impact",'3. Hazards'!G34="High Impact"))</f>
        <v>0</v>
      </c>
    </row>
    <row r="35" spans="2:10" ht="30" customHeight="1">
      <c r="B35" s="93"/>
      <c r="C35" s="235" cm="1">
        <f t="array" ref="C35">IFERROR(IF(F35=Model_Lists!$A$4,1,IF(F35=Model_Lists!$A$5,0,IF(FilterHazard=Model_Lists!$J$3,((SUM((Hazard_Calc!C16:J16)*TRANSPOSE(OverView_Calc!$B$2:$B$9)))&gt;0)*1,INDEX(Hazard_Calc!C16:J16,MATCH(FilterHazard,Model_Lists!$J$4:$J$11,0))))),1)</f>
        <v>1</v>
      </c>
      <c r="D35" s="107" t="s">
        <v>75</v>
      </c>
      <c r="E35" s="353" t="str">
        <f>Hazard_Calc!S16</f>
        <v>🌧</v>
      </c>
      <c r="F35" s="198" t="s">
        <v>217</v>
      </c>
      <c r="G35" s="110" t="s">
        <v>168</v>
      </c>
      <c r="H35" s="246" t="s">
        <v>360</v>
      </c>
      <c r="I35" s="237"/>
      <c r="J35" s="236" t="b">
        <f>AND('3. Hazards'!F35=INDEX(RatingOptionSelect,2), OR('3. Hazards'!G35="Moderate Impact",'3. Hazards'!G35="High Impact"))</f>
        <v>0</v>
      </c>
    </row>
    <row r="36" spans="2:10" ht="30" customHeight="1">
      <c r="B36" s="93"/>
      <c r="C36" s="235" cm="1">
        <f t="array" ref="C36">IFERROR(IF(F36=Model_Lists!$A$4,1,IF(F36=Model_Lists!$A$5,0,IF(FilterHazard=Model_Lists!$J$3,((SUM((Hazard_Calc!C17:J17)*TRANSPOSE(OverView_Calc!$B$2:$B$9)))&gt;0)*1,INDEX(Hazard_Calc!C17:J17,MATCH(FilterHazard,Model_Lists!$J$4:$J$11,0))))),1)</f>
        <v>1</v>
      </c>
      <c r="D36" s="107" t="s">
        <v>76</v>
      </c>
      <c r="E36" s="353" t="str">
        <f>Hazard_Calc!S17</f>
        <v>🌧</v>
      </c>
      <c r="F36" s="198" t="s">
        <v>217</v>
      </c>
      <c r="G36" s="110" t="s">
        <v>168</v>
      </c>
      <c r="H36" s="246" t="s">
        <v>361</v>
      </c>
      <c r="I36" s="237"/>
      <c r="J36" s="236" t="b">
        <f>AND('3. Hazards'!F36=INDEX(RatingOptionSelect,2), OR('3. Hazards'!G36="Moderate Impact",'3. Hazards'!G36="High Impact"))</f>
        <v>0</v>
      </c>
    </row>
    <row r="37" spans="2:10" ht="30" customHeight="1">
      <c r="B37" s="93"/>
      <c r="C37" s="235" cm="1">
        <f t="array" ref="C37">IFERROR(IF(F37=Model_Lists!$A$4,1,IF(F37=Model_Lists!$A$5,0,IF(FilterHazard=Model_Lists!$J$3,((SUM((Hazard_Calc!C18:J18)*TRANSPOSE(OverView_Calc!$B$2:$B$9)))&gt;0)*1,INDEX(Hazard_Calc!C18:J18,MATCH(FilterHazard,Model_Lists!$J$4:$J$11,0))))),1)</f>
        <v>1</v>
      </c>
      <c r="D37" s="107" t="s">
        <v>1</v>
      </c>
      <c r="E37" s="353" t="str">
        <f>Hazard_Calc!S18</f>
        <v>💦🌊</v>
      </c>
      <c r="F37" s="198" t="s">
        <v>217</v>
      </c>
      <c r="G37" s="110" t="s">
        <v>170</v>
      </c>
      <c r="H37" s="246" t="s">
        <v>362</v>
      </c>
      <c r="I37" s="237"/>
      <c r="J37" s="236" t="b">
        <f>AND('3. Hazards'!F37=INDEX(RatingOptionSelect,2), OR('3. Hazards'!G37="Moderate Impact",'3. Hazards'!G37="High Impact"))</f>
        <v>1</v>
      </c>
    </row>
    <row r="38" spans="2:10" ht="30" customHeight="1">
      <c r="B38" s="93"/>
      <c r="C38" s="235" cm="1">
        <f t="array" ref="C38">IFERROR(IF(F38=Model_Lists!$A$4,1,IF(F38=Model_Lists!$A$5,0,IF(FilterHazard=Model_Lists!$J$3,((SUM((Hazard_Calc!C19:J19)*TRANSPOSE(OverView_Calc!$B$2:$B$9)))&gt;0)*1,INDEX(Hazard_Calc!C19:J19,MATCH(FilterHazard,Model_Lists!$J$4:$J$11,0))))),1)</f>
        <v>1</v>
      </c>
      <c r="D38" s="107" t="s">
        <v>77</v>
      </c>
      <c r="E38" s="353" t="str">
        <f>Hazard_Calc!S19</f>
        <v>💨</v>
      </c>
      <c r="F38" s="198" t="s">
        <v>217</v>
      </c>
      <c r="G38" s="110" t="s">
        <v>168</v>
      </c>
      <c r="H38" s="246" t="s">
        <v>366</v>
      </c>
      <c r="I38" s="237"/>
      <c r="J38" s="236" t="b">
        <f>AND('3. Hazards'!F38=INDEX(RatingOptionSelect,2), OR('3. Hazards'!G38="Moderate Impact",'3. Hazards'!G38="High Impact"))</f>
        <v>0</v>
      </c>
    </row>
    <row r="39" spans="2:10" ht="30" customHeight="1">
      <c r="B39" s="93"/>
      <c r="C39" s="235" cm="1">
        <f t="array" ref="C39">IFERROR(IF(F39=Model_Lists!$A$4,1,IF(F39=Model_Lists!$A$5,0,IF(FilterHazard=Model_Lists!$J$3,((SUM((Hazard_Calc!C20:J20)*TRANSPOSE(OverView_Calc!$B$2:$B$9)))&gt;0)*1,INDEX(Hazard_Calc!C20:J20,MATCH(FilterHazard,Model_Lists!$J$4:$J$11,0))))),1)</f>
        <v>1</v>
      </c>
      <c r="D39" s="108" t="s">
        <v>301</v>
      </c>
      <c r="E39" s="353" t="str">
        <f>Hazard_Calc!S20</f>
        <v>💨</v>
      </c>
      <c r="F39" s="198" t="s">
        <v>217</v>
      </c>
      <c r="G39" s="111" t="s">
        <v>168</v>
      </c>
      <c r="H39" s="247" t="s">
        <v>367</v>
      </c>
      <c r="I39" s="237"/>
      <c r="J39" s="236" t="b">
        <f>AND('3. Hazards'!F39=INDEX(RatingOptionSelect,2), OR('3. Hazards'!G39="Moderate Impact",'3. Hazards'!G39="High Impact"))</f>
        <v>0</v>
      </c>
    </row>
    <row r="40" spans="2:10" ht="30" customHeight="1">
      <c r="B40" s="93"/>
      <c r="C40" s="235" cm="1">
        <f t="array" ref="C40">IFERROR(IF(F40=Model_Lists!$A$4,1,IF(F40=Model_Lists!$A$5,0,IF(FilterHazard=Model_Lists!$J$3,((SUM((Hazard_Calc!C21:J21)*TRANSPOSE(OverView_Calc!$B$2:$B$9)))&gt;0)*1,INDEX(Hazard_Calc!C21:J21,MATCH(FilterHazard,Model_Lists!$J$4:$J$11,0))))),1)</f>
        <v>1</v>
      </c>
      <c r="D40" s="107" t="s">
        <v>79</v>
      </c>
      <c r="E40" s="353" t="str">
        <f>Hazard_Calc!S21</f>
        <v>🌊</v>
      </c>
      <c r="F40" s="198" t="s">
        <v>217</v>
      </c>
      <c r="G40" s="111" t="s">
        <v>169</v>
      </c>
      <c r="H40" s="247" t="s">
        <v>368</v>
      </c>
      <c r="I40" s="237"/>
      <c r="J40" s="236" t="b">
        <f>AND('3. Hazards'!F40=INDEX(RatingOptionSelect,2), OR('3. Hazards'!G40="Moderate Impact",'3. Hazards'!G40="High Impact"))</f>
        <v>1</v>
      </c>
    </row>
    <row r="41" spans="2:10" ht="30" customHeight="1">
      <c r="B41" s="93"/>
      <c r="C41" s="235" cm="1">
        <f t="array" ref="C41">IFERROR(IF(F41=Model_Lists!$A$4,1,IF(F41=Model_Lists!$A$5,0,IF(FilterHazard=Model_Lists!$J$3,((SUM((Hazard_Calc!C22:J22)*TRANSPOSE(OverView_Calc!$B$2:$B$9)))&gt;0)*1,INDEX(Hazard_Calc!C22:J22,MATCH(FilterHazard,Model_Lists!$J$4:$J$11,0))))),1)</f>
        <v>1</v>
      </c>
      <c r="D41" s="107" t="s">
        <v>80</v>
      </c>
      <c r="E41" s="353" t="str">
        <f>Hazard_Calc!S22</f>
        <v>💦🌵</v>
      </c>
      <c r="F41" s="198" t="s">
        <v>217</v>
      </c>
      <c r="G41" s="111" t="s">
        <v>169</v>
      </c>
      <c r="H41" s="247" t="s">
        <v>369</v>
      </c>
      <c r="I41" s="237"/>
      <c r="J41" s="236" t="b">
        <f>AND('3. Hazards'!F41=INDEX(RatingOptionSelect,2), OR('3. Hazards'!G41="Moderate Impact",'3. Hazards'!G41="High Impact"))</f>
        <v>1</v>
      </c>
    </row>
    <row r="42" spans="2:10" ht="30" customHeight="1">
      <c r="B42" s="93"/>
      <c r="C42" s="235" cm="1">
        <f t="array" ref="C42">IFERROR(IF(F42=Model_Lists!$A$4,1,IF(F42=Model_Lists!$A$5,0,IF(FilterHazard=Model_Lists!$J$3,((SUM((Hazard_Calc!C23:J23)*TRANSPOSE(OverView_Calc!$B$2:$B$9)))&gt;0)*1,INDEX(Hazard_Calc!C23:J23,MATCH(FilterHazard,Model_Lists!$J$4:$J$11,0))))),1)</f>
        <v>1</v>
      </c>
      <c r="D42" s="107" t="s">
        <v>98</v>
      </c>
      <c r="E42" s="353" t="str">
        <f>Hazard_Calc!S23</f>
        <v>🌡☀️</v>
      </c>
      <c r="F42" s="198" t="s">
        <v>217</v>
      </c>
      <c r="G42" s="111" t="s">
        <v>168</v>
      </c>
      <c r="H42" s="247" t="s">
        <v>370</v>
      </c>
      <c r="I42" s="237"/>
      <c r="J42" s="236" t="b">
        <f>AND('3. Hazards'!F42=INDEX(RatingOptionSelect,2), OR('3. Hazards'!G42="Moderate Impact",'3. Hazards'!G42="High Impact"))</f>
        <v>0</v>
      </c>
    </row>
    <row r="43" spans="2:10" ht="30" customHeight="1">
      <c r="B43" s="93"/>
      <c r="C43" s="235" cm="1">
        <f t="array" ref="C43">IFERROR(IF(F43=Model_Lists!$A$4,1,IF(F43=Model_Lists!$A$5,0,IF(FilterHazard=Model_Lists!$J$3,((SUM((Hazard_Calc!C24:J24)*TRANSPOSE(OverView_Calc!$B$2:$B$9)))&gt;0)*1,INDEX(Hazard_Calc!C24:J24,MATCH(FilterHazard,Model_Lists!$J$4:$J$11,0))))),1)</f>
        <v>0</v>
      </c>
      <c r="D43" s="107" t="s">
        <v>302</v>
      </c>
      <c r="E43" s="353" t="str">
        <f>Hazard_Calc!S24</f>
        <v>🌡☀️</v>
      </c>
      <c r="F43" s="198" t="s">
        <v>225</v>
      </c>
      <c r="G43" s="111"/>
      <c r="H43" s="247"/>
      <c r="I43" s="237"/>
      <c r="J43" s="236" t="b">
        <f>AND('3. Hazards'!F43=INDEX(RatingOptionSelect,2), OR('3. Hazards'!G43="Moderate Impact",'3. Hazards'!G43="High Impact"))</f>
        <v>0</v>
      </c>
    </row>
    <row r="44" spans="2:10" ht="30" customHeight="1">
      <c r="B44" s="93"/>
      <c r="C44" s="235" cm="1">
        <f t="array" ref="C44">IFERROR(IF(F44=Model_Lists!$A$4,1,IF(F44=Model_Lists!$A$5,0,IF(FilterHazard=Model_Lists!$J$3,((SUM((Hazard_Calc!C25:J25)*TRANSPOSE(OverView_Calc!$B$2:$B$9)))&gt;0)*1,INDEX(Hazard_Calc!C25:J25,MATCH(FilterHazard,Model_Lists!$J$4:$J$11,0))))),1)</f>
        <v>1</v>
      </c>
      <c r="D44" s="107" t="s">
        <v>85</v>
      </c>
      <c r="E44" s="353" t="str">
        <f>Hazard_Calc!S25</f>
        <v>🌵</v>
      </c>
      <c r="F44" s="198" t="s">
        <v>217</v>
      </c>
      <c r="G44" s="111" t="s">
        <v>169</v>
      </c>
      <c r="H44" s="247" t="s">
        <v>371</v>
      </c>
      <c r="I44" s="237"/>
      <c r="J44" s="236" t="b">
        <f>AND('3. Hazards'!F44=INDEX(RatingOptionSelect,2), OR('3. Hazards'!G44="Moderate Impact",'3. Hazards'!G44="High Impact"))</f>
        <v>1</v>
      </c>
    </row>
    <row r="45" spans="2:10" ht="30" customHeight="1">
      <c r="B45" s="93"/>
      <c r="C45" s="235" cm="1">
        <f t="array" ref="C45">IFERROR(IF(F45=Model_Lists!$A$4,1,IF(F45=Model_Lists!$A$5,0,IF(FilterHazard=Model_Lists!$J$3,((SUM((Hazard_Calc!C26:J26)*TRANSPOSE(OverView_Calc!$B$2:$B$9)))&gt;0)*1,INDEX(Hazard_Calc!C26:J26,MATCH(FilterHazard,Model_Lists!$J$4:$J$11,0))))),1)</f>
        <v>1</v>
      </c>
      <c r="D45" s="107" t="s">
        <v>324</v>
      </c>
      <c r="E45" s="353" t="str">
        <f>Hazard_Calc!S26</f>
        <v>💦🌊🔥💨</v>
      </c>
      <c r="F45" s="198" t="s">
        <v>217</v>
      </c>
      <c r="G45" s="111" t="s">
        <v>169</v>
      </c>
      <c r="H45" s="247" t="s">
        <v>372</v>
      </c>
      <c r="I45" s="237"/>
      <c r="J45" s="236" t="b">
        <f>AND('3. Hazards'!F45=INDEX(RatingOptionSelect,2), OR('3. Hazards'!G45="Moderate Impact",'3. Hazards'!G45="High Impact"))</f>
        <v>1</v>
      </c>
    </row>
    <row r="46" spans="2:10" ht="30" customHeight="1">
      <c r="B46" s="93"/>
      <c r="C46" s="235" cm="1">
        <f t="array" ref="C46">IFERROR(IF(F46=Model_Lists!$A$4,1,IF(F46=Model_Lists!$A$5,0,IF(FilterHazard=Model_Lists!$J$3,((SUM((Hazard_Calc!C26:J26)*TRANSPOSE(OverView_Calc!$B$2:$B$9)))&gt;0)*1,INDEX(Hazard_Calc!C26:J26,MATCH(FilterHazard,Model_Lists!$J$4:$J$11,0))))),1)</f>
        <v>1</v>
      </c>
      <c r="D46" s="107" t="s">
        <v>325</v>
      </c>
      <c r="E46" s="353" t="str">
        <f>Hazard_Calc!S27</f>
        <v>💦🌊🔥💨</v>
      </c>
      <c r="F46" s="198" t="s">
        <v>217</v>
      </c>
      <c r="G46" s="111" t="s">
        <v>170</v>
      </c>
      <c r="H46" s="247" t="s">
        <v>373</v>
      </c>
      <c r="I46" s="237"/>
      <c r="J46" s="236" t="b">
        <f>AND('3. Hazards'!F46=INDEX(RatingOptionSelect,2), OR('3. Hazards'!G46="Moderate Impact",'3. Hazards'!G46="High Impact"))</f>
        <v>1</v>
      </c>
    </row>
    <row r="47" spans="2:10" ht="30" customHeight="1">
      <c r="B47" s="93"/>
      <c r="C47" s="235" cm="1">
        <f t="array" ref="C47">IFERROR(IF(F47=Model_Lists!$A$4,1,IF(F47=Model_Lists!$A$5,0,IF(FilterHazard=Model_Lists!$J$3,((SUM((Hazard_Calc!C28:J28)*TRANSPOSE(OverView_Calc!$B$2:$B$9)))&gt;0)*1,INDEX(Hazard_Calc!C28:J28,MATCH(FilterHazard,Model_Lists!$J$4:$J$11,0))))),1)</f>
        <v>1</v>
      </c>
      <c r="D47" s="107" t="s">
        <v>326</v>
      </c>
      <c r="E47" s="353" t="str">
        <f>Hazard_Calc!S28</f>
        <v>💦🌊🔥💨☀️</v>
      </c>
      <c r="F47" s="198" t="s">
        <v>217</v>
      </c>
      <c r="G47" s="111" t="s">
        <v>168</v>
      </c>
      <c r="H47" s="247" t="s">
        <v>374</v>
      </c>
      <c r="I47" s="237"/>
      <c r="J47" s="236" t="b">
        <f>AND('3. Hazards'!F47=INDEX(RatingOptionSelect,2), OR('3. Hazards'!G47="Moderate Impact",'3. Hazards'!G47="High Impact"))</f>
        <v>0</v>
      </c>
    </row>
    <row r="48" spans="2:10" ht="30" customHeight="1">
      <c r="B48" s="93"/>
      <c r="C48" s="235" cm="1">
        <f t="array" ref="C48">IFERROR(IF(F48=Model_Lists!$A$4,1,IF(F48=Model_Lists!$A$5,0,IF(FilterHazard=Model_Lists!$J$3,((SUM((Hazard_Calc!C29:J29)*TRANSPOSE(OverView_Calc!$B$2:$B$9)))&gt;0)*1,INDEX(Hazard_Calc!C29:J29,MATCH(FilterHazard,Model_Lists!$J$4:$J$11,0))))),1)</f>
        <v>1</v>
      </c>
      <c r="D48" s="107" t="s">
        <v>318</v>
      </c>
      <c r="E48" s="353" t="str">
        <f>Hazard_Calc!S29</f>
        <v>💦🌊🔥💨</v>
      </c>
      <c r="F48" s="198" t="s">
        <v>217</v>
      </c>
      <c r="G48" s="111" t="s">
        <v>169</v>
      </c>
      <c r="H48" s="247" t="s">
        <v>375</v>
      </c>
      <c r="I48" s="237"/>
      <c r="J48" s="236" t="b">
        <f>AND('3. Hazards'!F48=INDEX(RatingOptionSelect,2), OR('3. Hazards'!G48="Moderate Impact",'3. Hazards'!G48="High Impact"))</f>
        <v>1</v>
      </c>
    </row>
    <row r="49" spans="2:10" ht="33" customHeight="1">
      <c r="B49" s="93"/>
      <c r="C49" s="235" cm="1">
        <f t="array" ref="C49">IFERROR(IF(F49=Model_Lists!$A$4,1,IF(F49=Model_Lists!$A$5,0,IF(FilterHazard=Model_Lists!$J$3,((SUM((Hazard_Calc!C30:J30)*TRANSPOSE(OverView_Calc!$B$2:$B$9)))&gt;0)*1,INDEX(Hazard_Calc!C30:J30,MATCH(FilterHazard,Model_Lists!$J$4:$J$11,0))))),1)</f>
        <v>1</v>
      </c>
      <c r="D49" s="107" t="s">
        <v>327</v>
      </c>
      <c r="E49" s="353" t="str">
        <f>Hazard_Calc!S30</f>
        <v>💦🌊🔥💨🌵</v>
      </c>
      <c r="F49" s="198" t="s">
        <v>217</v>
      </c>
      <c r="G49" s="111" t="s">
        <v>170</v>
      </c>
      <c r="H49" s="247" t="s">
        <v>376</v>
      </c>
      <c r="I49" s="237"/>
      <c r="J49" s="236" t="b">
        <f>AND('3. Hazards'!F49=INDEX(RatingOptionSelect,2), OR('3. Hazards'!G49="Moderate Impact",'3. Hazards'!G49="High Impact"))</f>
        <v>1</v>
      </c>
    </row>
    <row r="50" spans="2:10" ht="20" customHeight="1" thickBot="1">
      <c r="B50" s="93"/>
      <c r="J50" s="94"/>
    </row>
    <row r="51" spans="2:10" ht="23.5" customHeight="1">
      <c r="B51" s="93"/>
      <c r="C51" s="305" t="s">
        <v>181</v>
      </c>
      <c r="D51" s="306"/>
      <c r="E51" s="307"/>
      <c r="F51" s="307"/>
      <c r="G51" s="307"/>
      <c r="H51" s="308"/>
      <c r="I51" s="238"/>
      <c r="J51" s="94"/>
    </row>
    <row r="52" spans="2:10" ht="53" customHeight="1" thickBot="1">
      <c r="B52" s="93"/>
      <c r="C52" s="309"/>
      <c r="D52" s="241" t="s">
        <v>286</v>
      </c>
      <c r="E52" s="242" t="s">
        <v>290</v>
      </c>
      <c r="F52" s="243" t="s">
        <v>217</v>
      </c>
      <c r="G52" s="244" t="s">
        <v>168</v>
      </c>
      <c r="H52" s="245" t="s">
        <v>167</v>
      </c>
      <c r="I52" s="239"/>
      <c r="J52" s="94"/>
    </row>
    <row r="53" spans="2:10">
      <c r="B53" s="93"/>
      <c r="J53" s="94"/>
    </row>
    <row r="54" spans="2:10" ht="15" thickBot="1">
      <c r="B54" s="101"/>
      <c r="C54" s="102"/>
      <c r="D54" s="103"/>
      <c r="E54" s="104"/>
      <c r="F54" s="102"/>
      <c r="G54" s="104"/>
      <c r="H54" s="103"/>
      <c r="I54" s="103"/>
      <c r="J54" s="105"/>
    </row>
    <row r="55" spans="2:10"/>
    <row r="56" spans="2:10"/>
    <row r="57" spans="2:10"/>
    <row r="58" spans="2:10"/>
    <row r="59" spans="2:10"/>
    <row r="60" spans="2:10"/>
    <row r="61" spans="2:10"/>
    <row r="62" spans="2:10"/>
    <row r="63" spans="2:10"/>
    <row r="64" spans="2:10"/>
    <row r="65"/>
    <row r="66"/>
    <row r="67"/>
    <row r="68"/>
    <row r="69"/>
    <row r="70"/>
  </sheetData>
  <customSheetViews>
    <customSheetView guid="{2AB498D9-D32A-4EB2-B4F2-37A196616A87}">
      <pane ySplit="3" topLeftCell="A4" activePane="bottomLeft" state="frozen"/>
      <selection pane="bottomLeft" activeCell="F8" sqref="F8"/>
      <pageMargins left="0.7" right="0.7" top="0.75" bottom="0.75" header="0.3" footer="0.3"/>
    </customSheetView>
  </customSheetViews>
  <mergeCells count="5">
    <mergeCell ref="C4:C14"/>
    <mergeCell ref="D16:H16"/>
    <mergeCell ref="D4:D14"/>
    <mergeCell ref="E4:G14"/>
    <mergeCell ref="D15:H15"/>
  </mergeCells>
  <conditionalFormatting sqref="C21:I49">
    <cfRule type="expression" dxfId="41" priority="38">
      <formula>AND($C21=0,ISBLANK($C21)=FALSE)</formula>
    </cfRule>
  </conditionalFormatting>
  <conditionalFormatting sqref="G21:G49">
    <cfRule type="expression" dxfId="40" priority="39">
      <formula>G21="Low Impact"</formula>
    </cfRule>
    <cfRule type="expression" dxfId="39" priority="40">
      <formula>G21="High Impact"</formula>
    </cfRule>
    <cfRule type="expression" dxfId="38" priority="47">
      <formula>G21="Moderate Impact"</formula>
    </cfRule>
  </conditionalFormatting>
  <dataValidations xWindow="632" yWindow="903" count="2">
    <dataValidation type="list" allowBlank="1" showInputMessage="1" showErrorMessage="1" promptTitle="&lt; Impact Rating &gt;" prompt="Low = low or no impact from hazard; _x000a__x000a_Moderate = moderate hazard impact causing reduced performance; _x000a__x000a_High= high hazard impact likely causing failure_x000a_" sqref="G21:G49" xr:uid="{E15B5CD1-5725-674D-BB7B-E115E9054C83}">
      <formula1>ratingOverall</formula1>
    </dataValidation>
    <dataValidation type="list" allowBlank="1" showInputMessage="1" showErrorMessage="1" promptTitle="&lt; Relevant hazard &gt;" prompt="Identify if this hazard is relevant to your context. _x000a__x000a_Yes - Relevant_x000a_No - Not relevant" sqref="F21:F49" xr:uid="{2CCCA763-94BA-41CC-9871-74E48F190583}">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1" id="{6AA4632A-42C2-405D-8E15-E06854392B6F}">
            <xm:f>OverView_Calc!B2=FALSE</xm:f>
            <x14:dxf>
              <font>
                <strike/>
                <color theme="0"/>
              </font>
              <fill>
                <patternFill>
                  <bgColor theme="1" tint="0.499984740745262"/>
                </patternFill>
              </fill>
            </x14:dxf>
          </x14:cfRule>
          <xm:sqref>H5:H12</xm:sqref>
        </x14:conditionalFormatting>
      </x14:conditionalFormattings>
    </ext>
    <ext xmlns:x14="http://schemas.microsoft.com/office/spreadsheetml/2009/9/main" uri="{CCE6A557-97BC-4b89-ADB6-D9C93CAAB3DF}">
      <x14:dataValidations xmlns:xm="http://schemas.microsoft.com/office/excel/2006/main" xWindow="632" yWindow="903" count="1">
        <x14:dataValidation type="list" allowBlank="1" showInputMessage="1" showErrorMessage="1" xr:uid="{00000000-0002-0000-0400-000001000000}">
          <x14:formula1>
            <xm:f>Model_Lists!$J$3:$J$11</xm:f>
          </x14:formula1>
          <xm:sqref>F18 E19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3F50B5"/>
  </sheetPr>
  <dimension ref="A1:AG56"/>
  <sheetViews>
    <sheetView showGridLines="0" showRowColHeaders="0" zoomScale="70" zoomScaleNormal="70" workbookViewId="0">
      <pane ySplit="18" topLeftCell="A22" activePane="bottomLeft" state="frozen"/>
      <selection pane="bottomLeft"/>
    </sheetView>
  </sheetViews>
  <sheetFormatPr baseColWidth="10" defaultColWidth="0" defaultRowHeight="14" zeroHeight="1"/>
  <cols>
    <col min="1" max="1" width="3.33203125" style="8" customWidth="1"/>
    <col min="2" max="2" width="8.5" style="8" customWidth="1"/>
    <col min="3" max="3" width="5.6640625" style="8" customWidth="1"/>
    <col min="4" max="4" width="55" style="8" customWidth="1"/>
    <col min="5" max="5" width="36.1640625" style="10" customWidth="1"/>
    <col min="6" max="6" width="27.1640625" style="8" customWidth="1"/>
    <col min="7" max="8" width="58" style="8" customWidth="1"/>
    <col min="9" max="9" width="33.5" style="8" customWidth="1"/>
    <col min="10" max="12" width="3.33203125" style="8" customWidth="1"/>
    <col min="13" max="21" width="8.83203125" style="8" hidden="1" customWidth="1"/>
    <col min="22" max="24" width="0" style="8" hidden="1" customWidth="1"/>
    <col min="25" max="30" width="8.83203125" style="8" hidden="1" customWidth="1"/>
    <col min="31" max="33" width="0" style="8" hidden="1" customWidth="1"/>
    <col min="34" max="16384" width="8.83203125" style="8" hidden="1"/>
  </cols>
  <sheetData>
    <row r="1" spans="2:11" ht="19" customHeight="1" thickBot="1"/>
    <row r="2" spans="2:11" ht="19" customHeight="1">
      <c r="B2" s="166"/>
      <c r="C2" s="167"/>
      <c r="D2" s="167"/>
      <c r="E2" s="168"/>
      <c r="F2" s="167"/>
      <c r="G2" s="167"/>
      <c r="H2" s="167"/>
      <c r="I2" s="167"/>
      <c r="J2" s="167"/>
      <c r="K2" s="169"/>
    </row>
    <row r="3" spans="2:11" ht="19" customHeight="1">
      <c r="B3" s="170"/>
      <c r="C3" s="171"/>
      <c r="D3" s="171"/>
      <c r="E3" s="253"/>
      <c r="F3" s="171"/>
      <c r="G3" s="171"/>
      <c r="H3" s="171"/>
      <c r="I3" s="171"/>
      <c r="J3" s="171"/>
      <c r="K3" s="172"/>
    </row>
    <row r="4" spans="2:11" ht="14" customHeight="1">
      <c r="B4" s="170"/>
      <c r="C4" s="383">
        <v>4</v>
      </c>
      <c r="D4" s="375" t="s">
        <v>291</v>
      </c>
      <c r="E4" s="376" t="s">
        <v>292</v>
      </c>
      <c r="F4" s="376"/>
      <c r="G4" s="376"/>
      <c r="H4" s="174"/>
      <c r="I4" s="348" t="s">
        <v>232</v>
      </c>
      <c r="J4" s="175"/>
      <c r="K4" s="176"/>
    </row>
    <row r="5" spans="2:11" ht="14" customHeight="1">
      <c r="B5" s="170"/>
      <c r="C5" s="383"/>
      <c r="D5" s="375"/>
      <c r="E5" s="376"/>
      <c r="F5" s="376"/>
      <c r="G5" s="376"/>
      <c r="H5" s="174"/>
      <c r="I5" s="177" t="s">
        <v>194</v>
      </c>
      <c r="J5" s="175"/>
      <c r="K5" s="176"/>
    </row>
    <row r="6" spans="2:11" ht="14" customHeight="1">
      <c r="B6" s="170"/>
      <c r="C6" s="383"/>
      <c r="D6" s="375"/>
      <c r="E6" s="376"/>
      <c r="F6" s="376"/>
      <c r="G6" s="376"/>
      <c r="H6" s="174"/>
      <c r="I6" s="177" t="s">
        <v>200</v>
      </c>
      <c r="J6" s="175"/>
      <c r="K6" s="176"/>
    </row>
    <row r="7" spans="2:11" ht="14" customHeight="1">
      <c r="B7" s="170"/>
      <c r="C7" s="383"/>
      <c r="D7" s="375"/>
      <c r="E7" s="376"/>
      <c r="F7" s="376"/>
      <c r="G7" s="376"/>
      <c r="H7" s="174"/>
      <c r="I7" s="177" t="s">
        <v>221</v>
      </c>
      <c r="J7" s="175"/>
      <c r="K7" s="176"/>
    </row>
    <row r="8" spans="2:11" ht="14" customHeight="1">
      <c r="B8" s="170"/>
      <c r="C8" s="383"/>
      <c r="D8" s="375"/>
      <c r="E8" s="376"/>
      <c r="F8" s="376"/>
      <c r="G8" s="376"/>
      <c r="H8" s="174"/>
      <c r="I8" s="177" t="s">
        <v>195</v>
      </c>
      <c r="J8" s="175"/>
      <c r="K8" s="176"/>
    </row>
    <row r="9" spans="2:11" ht="14" customHeight="1">
      <c r="B9" s="170"/>
      <c r="C9" s="383"/>
      <c r="D9" s="375"/>
      <c r="E9" s="376"/>
      <c r="F9" s="376"/>
      <c r="G9" s="376"/>
      <c r="H9" s="174"/>
      <c r="I9" s="177" t="s">
        <v>220</v>
      </c>
      <c r="J9" s="175"/>
      <c r="K9" s="176"/>
    </row>
    <row r="10" spans="2:11" ht="14" customHeight="1">
      <c r="B10" s="170"/>
      <c r="C10" s="383"/>
      <c r="D10" s="375"/>
      <c r="E10" s="376"/>
      <c r="F10" s="376"/>
      <c r="G10" s="376"/>
      <c r="H10" s="174"/>
      <c r="I10" s="177" t="s">
        <v>197</v>
      </c>
      <c r="J10" s="175"/>
      <c r="K10" s="176"/>
    </row>
    <row r="11" spans="2:11" ht="14" customHeight="1">
      <c r="B11" s="170"/>
      <c r="C11" s="383"/>
      <c r="D11" s="375"/>
      <c r="E11" s="376"/>
      <c r="F11" s="376"/>
      <c r="G11" s="376"/>
      <c r="H11" s="174"/>
      <c r="I11" s="177" t="s">
        <v>198</v>
      </c>
      <c r="J11" s="175"/>
      <c r="K11" s="176"/>
    </row>
    <row r="12" spans="2:11" ht="14" customHeight="1">
      <c r="B12" s="170"/>
      <c r="C12" s="383"/>
      <c r="D12" s="375"/>
      <c r="E12" s="376"/>
      <c r="F12" s="376"/>
      <c r="G12" s="376"/>
      <c r="H12" s="174"/>
      <c r="I12" s="177" t="s">
        <v>214</v>
      </c>
      <c r="J12" s="175"/>
      <c r="K12" s="176"/>
    </row>
    <row r="13" spans="2:11" ht="14" customHeight="1">
      <c r="B13" s="170"/>
      <c r="C13" s="171"/>
      <c r="D13" s="178"/>
      <c r="E13" s="179"/>
      <c r="F13" s="180"/>
      <c r="G13" s="175"/>
      <c r="H13" s="174"/>
      <c r="I13" s="173"/>
      <c r="J13" s="175"/>
      <c r="K13" s="176"/>
    </row>
    <row r="14" spans="2:11" ht="81" customHeight="1">
      <c r="B14" s="170"/>
      <c r="C14" s="31"/>
      <c r="D14" s="373" t="s">
        <v>322</v>
      </c>
      <c r="E14" s="374"/>
      <c r="F14" s="374"/>
      <c r="G14" s="374"/>
      <c r="H14" s="374"/>
      <c r="I14" s="374"/>
      <c r="J14" s="252"/>
      <c r="K14" s="176"/>
    </row>
    <row r="15" spans="2:11" ht="13.25" customHeight="1">
      <c r="B15" s="170"/>
      <c r="D15" s="248"/>
      <c r="E15" s="249"/>
      <c r="F15" s="250"/>
      <c r="G15" s="251"/>
      <c r="H15" s="33"/>
      <c r="I15" s="251"/>
      <c r="J15" s="251"/>
      <c r="K15" s="176"/>
    </row>
    <row r="16" spans="2:11" ht="14" customHeight="1">
      <c r="B16" s="170"/>
      <c r="C16" s="171"/>
      <c r="D16" s="178"/>
      <c r="E16" s="179"/>
      <c r="F16" s="180"/>
      <c r="G16" s="175"/>
      <c r="H16" s="173"/>
      <c r="I16" s="173"/>
      <c r="J16" s="175"/>
      <c r="K16" s="176"/>
    </row>
    <row r="17" spans="2:24" ht="14" customHeight="1">
      <c r="B17" s="170"/>
      <c r="C17" s="171"/>
      <c r="D17" s="178"/>
      <c r="E17" s="179"/>
      <c r="F17" s="180"/>
      <c r="G17" s="173"/>
      <c r="H17" s="173"/>
      <c r="I17" s="173"/>
      <c r="J17" s="175"/>
      <c r="K17" s="176"/>
    </row>
    <row r="18" spans="2:24" ht="40.5" customHeight="1">
      <c r="B18" s="170"/>
      <c r="C18" s="382" t="s">
        <v>222</v>
      </c>
      <c r="D18" s="382"/>
      <c r="E18" s="181"/>
      <c r="F18" s="195" t="s">
        <v>247</v>
      </c>
      <c r="G18" s="195" t="s">
        <v>331</v>
      </c>
      <c r="H18" s="195" t="s">
        <v>248</v>
      </c>
      <c r="I18" s="195" t="s">
        <v>212</v>
      </c>
      <c r="J18" s="175"/>
      <c r="K18" s="176"/>
    </row>
    <row r="19" spans="2:24" ht="55" customHeight="1">
      <c r="B19" s="170"/>
      <c r="C19" s="381" t="s">
        <v>323</v>
      </c>
      <c r="D19" s="381"/>
      <c r="E19" s="381"/>
      <c r="F19" s="381"/>
      <c r="G19" s="381"/>
      <c r="H19" s="381"/>
      <c r="I19" s="381"/>
      <c r="J19" s="294"/>
      <c r="K19" s="182"/>
    </row>
    <row r="20" spans="2:24" s="12" customFormat="1" ht="55" customHeight="1">
      <c r="B20" s="255" cm="1">
        <f t="array" ref="B20">IF(SUM((DF_Calc!C6:J6="Yes")*TRANSPOSE(OverView_Calc!$B$2:$B$9))&gt;0,1,0)</f>
        <v>1</v>
      </c>
      <c r="C20" s="315"/>
      <c r="D20" s="161" t="s">
        <v>218</v>
      </c>
      <c r="E20" s="351" t="str">
        <f>DF_Calc!Q6</f>
        <v>💦 🌧 🌊</v>
      </c>
      <c r="F20" s="316" t="s">
        <v>225</v>
      </c>
      <c r="G20" s="316"/>
      <c r="H20" s="316" t="s">
        <v>377</v>
      </c>
      <c r="I20" s="316"/>
      <c r="J20" s="317"/>
      <c r="K20" s="184"/>
    </row>
    <row r="21" spans="2:24" s="12" customFormat="1" ht="55" customHeight="1">
      <c r="B21" s="255" cm="1">
        <f t="array" ref="B21">IF(SUM((DF_Calc!C7:J7="Yes")*TRANSPOSE(OverView_Calc!$B$2:$B$9))&gt;0,1,0)</f>
        <v>1</v>
      </c>
      <c r="D21" s="160" t="s">
        <v>219</v>
      </c>
      <c r="E21" s="351" t="str">
        <f>DF_Calc!Q7</f>
        <v>💦 🌊🔥💨</v>
      </c>
      <c r="F21" s="313" t="s">
        <v>217</v>
      </c>
      <c r="G21" s="313" t="s">
        <v>378</v>
      </c>
      <c r="H21" s="313"/>
      <c r="I21" s="313"/>
      <c r="J21" s="183"/>
      <c r="K21" s="184"/>
    </row>
    <row r="22" spans="2:24" s="12" customFormat="1" ht="55" customHeight="1">
      <c r="B22" s="255" cm="1">
        <f t="array" ref="B22">IF(SUM((DF_Calc!C8:J8="Yes")*TRANSPOSE(OverView_Calc!$B$2:$B$9))&gt;0,1,0)</f>
        <v>1</v>
      </c>
      <c r="D22" s="161" t="s">
        <v>303</v>
      </c>
      <c r="E22" s="351" t="str">
        <f>DF_Calc!Q8</f>
        <v xml:space="preserve">💦 🌧 🌊🔥💨🌵 </v>
      </c>
      <c r="F22" s="313" t="s">
        <v>225</v>
      </c>
      <c r="G22" s="313"/>
      <c r="H22" s="313" t="s">
        <v>379</v>
      </c>
      <c r="I22" s="313"/>
      <c r="J22" s="183"/>
      <c r="K22" s="184"/>
    </row>
    <row r="23" spans="2:24" s="12" customFormat="1" ht="55" customHeight="1">
      <c r="B23" s="255" cm="1">
        <f t="array" ref="B23">IF(SUM((DF_Calc!C9:J9="Yes")*TRANSPOSE(OverView_Calc!$B$2:$B$9))&gt;0,1,0)</f>
        <v>1</v>
      </c>
      <c r="D23" s="162" t="s">
        <v>55</v>
      </c>
      <c r="E23" s="351" t="str">
        <f>DF_Calc!Q9</f>
        <v>💦 🌧 🌊🔥💨🌵 🌡☀️</v>
      </c>
      <c r="F23" s="318" t="s">
        <v>217</v>
      </c>
      <c r="G23" s="318" t="s">
        <v>380</v>
      </c>
      <c r="H23" s="318"/>
      <c r="I23" s="318"/>
      <c r="J23" s="183"/>
      <c r="K23" s="184"/>
    </row>
    <row r="24" spans="2:24" ht="55" customHeight="1">
      <c r="B24" s="255">
        <v>1</v>
      </c>
      <c r="C24" s="377" t="s">
        <v>330</v>
      </c>
      <c r="D24" s="377"/>
      <c r="E24" s="377"/>
      <c r="F24" s="377"/>
      <c r="G24" s="377"/>
      <c r="H24" s="377"/>
      <c r="I24" s="377"/>
      <c r="J24" s="183"/>
      <c r="K24" s="185"/>
      <c r="M24" s="31"/>
      <c r="N24" s="31"/>
      <c r="O24" s="31"/>
      <c r="P24" s="31"/>
      <c r="Q24" s="31"/>
      <c r="R24" s="31"/>
      <c r="S24" s="31"/>
      <c r="T24" s="31"/>
      <c r="U24" s="31"/>
      <c r="V24" s="31"/>
      <c r="W24" s="31"/>
      <c r="X24" s="31"/>
    </row>
    <row r="25" spans="2:24" s="12" customFormat="1" ht="55" customHeight="1">
      <c r="B25" s="255" cm="1">
        <f t="array" ref="B25">IF(SUM((DF_Calc!C11:J11="Yes")*TRANSPOSE(OverView_Calc!$B$2:$B$9))&gt;0,1,0)</f>
        <v>1</v>
      </c>
      <c r="C25" s="315"/>
      <c r="D25" s="161" t="s">
        <v>56</v>
      </c>
      <c r="E25" s="351" t="str">
        <f>DF_Calc!Q11</f>
        <v>💦 🌧 🌊🔥💨🌵 🌡☀️</v>
      </c>
      <c r="F25" s="316" t="s">
        <v>217</v>
      </c>
      <c r="G25" s="316" t="s">
        <v>381</v>
      </c>
      <c r="H25" s="316" t="s">
        <v>382</v>
      </c>
      <c r="I25" s="316" t="s">
        <v>383</v>
      </c>
      <c r="J25" s="183"/>
      <c r="K25" s="184"/>
    </row>
    <row r="26" spans="2:24" s="12" customFormat="1" ht="55" customHeight="1">
      <c r="B26" s="255" cm="1">
        <f t="array" ref="B26">IF(SUM((DF_Calc!C12:J12="Yes")*TRANSPOSE(OverView_Calc!$B$2:$B$9))&gt;0,1,0)</f>
        <v>1</v>
      </c>
      <c r="D26" s="161" t="s">
        <v>236</v>
      </c>
      <c r="E26" s="351" t="str">
        <f>DF_Calc!Q12</f>
        <v xml:space="preserve">💦 🌧 🌊🌵 </v>
      </c>
      <c r="F26" s="313" t="s">
        <v>225</v>
      </c>
      <c r="G26" s="313"/>
      <c r="H26" s="313" t="s">
        <v>384</v>
      </c>
      <c r="I26" s="313" t="s">
        <v>385</v>
      </c>
      <c r="J26" s="183"/>
      <c r="K26" s="184"/>
    </row>
    <row r="27" spans="2:24" s="12" customFormat="1" ht="55" customHeight="1">
      <c r="B27" s="255" cm="1">
        <f t="array" ref="B27">IF(SUM((DF_Calc!C13:J13="Yes")*TRANSPOSE(OverView_Calc!$B$2:$B$9))&gt;0,1,0)</f>
        <v>1</v>
      </c>
      <c r="D27" s="161" t="s">
        <v>57</v>
      </c>
      <c r="E27" s="351" t="str">
        <f>DF_Calc!Q13</f>
        <v>💦 🌧 🌊💨🌵 🌡</v>
      </c>
      <c r="F27" s="313" t="s">
        <v>225</v>
      </c>
      <c r="G27" s="313"/>
      <c r="H27" s="313" t="s">
        <v>386</v>
      </c>
      <c r="I27" s="313" t="s">
        <v>387</v>
      </c>
      <c r="J27" s="183"/>
      <c r="K27" s="184"/>
    </row>
    <row r="28" spans="2:24" s="12" customFormat="1" ht="55" customHeight="1">
      <c r="B28" s="255" cm="1">
        <f t="array" ref="B28">IF(SUM((DF_Calc!C14:J14="Yes")*TRANSPOSE(OverView_Calc!$B$2:$B$9))&gt;0,1,0)</f>
        <v>1</v>
      </c>
      <c r="D28" s="161" t="s">
        <v>58</v>
      </c>
      <c r="E28" s="351" t="str">
        <f>DF_Calc!Q14</f>
        <v>💦 🌧 🌊💨</v>
      </c>
      <c r="F28" s="313" t="s">
        <v>225</v>
      </c>
      <c r="G28" s="313"/>
      <c r="H28" s="313"/>
      <c r="I28" s="313"/>
      <c r="J28" s="183"/>
      <c r="K28" s="184"/>
    </row>
    <row r="29" spans="2:24" s="12" customFormat="1" ht="55" customHeight="1">
      <c r="B29" s="255" cm="1">
        <f t="array" ref="B29">IF(SUM((DF_Calc!C15:J15="Yes")*TRANSPOSE(OverView_Calc!$B$2:$B$9))&gt;0,1,0)</f>
        <v>1</v>
      </c>
      <c r="D29" s="161" t="s">
        <v>59</v>
      </c>
      <c r="E29" s="351" t="str">
        <f>DF_Calc!Q15</f>
        <v>💦 🌧 🌊🔥🌡☀️</v>
      </c>
      <c r="F29" s="318" t="s">
        <v>217</v>
      </c>
      <c r="G29" s="318" t="s">
        <v>388</v>
      </c>
      <c r="H29" s="318" t="s">
        <v>389</v>
      </c>
      <c r="I29" s="357" t="s">
        <v>390</v>
      </c>
      <c r="J29" s="183"/>
      <c r="K29" s="184"/>
    </row>
    <row r="30" spans="2:24" ht="55" customHeight="1">
      <c r="B30" s="255">
        <v>1</v>
      </c>
      <c r="C30" s="377" t="s">
        <v>237</v>
      </c>
      <c r="D30" s="377"/>
      <c r="E30" s="377"/>
      <c r="F30" s="377"/>
      <c r="G30" s="377"/>
      <c r="H30" s="377"/>
      <c r="I30" s="377"/>
      <c r="J30" s="183"/>
      <c r="K30" s="185"/>
      <c r="M30" s="31"/>
      <c r="N30" s="31"/>
      <c r="O30" s="31"/>
      <c r="P30" s="31"/>
      <c r="Q30" s="31"/>
      <c r="R30" s="31"/>
      <c r="S30" s="31"/>
      <c r="T30" s="31"/>
      <c r="U30" s="31"/>
      <c r="V30" s="31"/>
      <c r="W30" s="31"/>
      <c r="X30" s="31"/>
    </row>
    <row r="31" spans="2:24" s="12" customFormat="1" ht="55" customHeight="1">
      <c r="B31" s="255" cm="1">
        <f t="array" ref="B31">IF(SUM((DF_Calc!C17:J17="Yes")*TRANSPOSE(OverView_Calc!$B$2:$B$9))&gt;0,1,0)</f>
        <v>1</v>
      </c>
      <c r="C31" s="315"/>
      <c r="D31" s="161" t="s">
        <v>238</v>
      </c>
      <c r="E31" s="351" t="str">
        <f>DF_Calc!Q17</f>
        <v>💦 🌧 🌊🔥💨🌵 🌡☀️</v>
      </c>
      <c r="F31" s="316" t="s">
        <v>225</v>
      </c>
      <c r="G31" s="316"/>
      <c r="H31" s="316" t="s">
        <v>391</v>
      </c>
      <c r="I31" s="316" t="s">
        <v>392</v>
      </c>
      <c r="J31" s="183"/>
      <c r="K31" s="184"/>
    </row>
    <row r="32" spans="2:24" s="12" customFormat="1" ht="55" customHeight="1">
      <c r="B32" s="255" cm="1">
        <f t="array" ref="B32">IF(SUM((DF_Calc!C18:J18="Yes")*TRANSPOSE(OverView_Calc!$B$2:$B$9))&gt;0,1,0)</f>
        <v>1</v>
      </c>
      <c r="D32" s="161" t="s">
        <v>60</v>
      </c>
      <c r="E32" s="351" t="str">
        <f>DF_Calc!Q18</f>
        <v xml:space="preserve">💦 🌧 🔥💨🌵 </v>
      </c>
      <c r="F32" s="313" t="s">
        <v>225</v>
      </c>
      <c r="G32" s="313"/>
      <c r="H32" s="313" t="s">
        <v>393</v>
      </c>
      <c r="I32" s="313" t="s">
        <v>394</v>
      </c>
      <c r="J32" s="183"/>
      <c r="K32" s="184"/>
    </row>
    <row r="33" spans="2:24" s="12" customFormat="1" ht="55" customHeight="1">
      <c r="B33" s="255" cm="1">
        <f t="array" ref="B33">IF(SUM((DF_Calc!C19:J19="Yes")*TRANSPOSE(OverView_Calc!$B$2:$B$9))&gt;0,1,0)</f>
        <v>1</v>
      </c>
      <c r="D33" s="161" t="s">
        <v>61</v>
      </c>
      <c r="E33" s="351" t="str">
        <f>DF_Calc!Q19</f>
        <v>💦 🌧 🌊🔥💨</v>
      </c>
      <c r="F33" s="313" t="s">
        <v>225</v>
      </c>
      <c r="G33" s="313"/>
      <c r="H33" s="313"/>
      <c r="I33" s="313"/>
      <c r="J33" s="183"/>
      <c r="K33" s="184"/>
    </row>
    <row r="34" spans="2:24" s="12" customFormat="1" ht="80" customHeight="1">
      <c r="B34" s="255" cm="1">
        <f t="array" ref="B34">IF(SUM((DF_Calc!C20:J20="Yes")*TRANSPOSE(OverView_Calc!$B$2:$B$9))&gt;0,1,0)</f>
        <v>1</v>
      </c>
      <c r="D34" s="161" t="s">
        <v>62</v>
      </c>
      <c r="E34" s="351" t="str">
        <f>DF_Calc!Q20</f>
        <v>💦 🌧 🌊🔥💨🌵 🌡☀️</v>
      </c>
      <c r="F34" s="313" t="s">
        <v>217</v>
      </c>
      <c r="G34" s="313" t="s">
        <v>396</v>
      </c>
      <c r="H34" s="313" t="s">
        <v>395</v>
      </c>
      <c r="I34" s="313"/>
      <c r="J34" s="183"/>
      <c r="K34" s="184"/>
    </row>
    <row r="35" spans="2:24" s="12" customFormat="1" ht="55" customHeight="1">
      <c r="B35" s="255" cm="1">
        <f t="array" ref="B35">IF(SUM((DF_Calc!C21:J21="Yes")*TRANSPOSE(OverView_Calc!$B$2:$B$9))&gt;0,1,0)</f>
        <v>1</v>
      </c>
      <c r="D35" s="162" t="s">
        <v>63</v>
      </c>
      <c r="E35" s="351" t="str">
        <f>DF_Calc!Q21</f>
        <v>💦 🌧 🌊🔥💨🌵 ☀️</v>
      </c>
      <c r="F35" s="318" t="s">
        <v>225</v>
      </c>
      <c r="G35" s="318"/>
      <c r="H35" s="318" t="s">
        <v>397</v>
      </c>
      <c r="I35" s="318" t="s">
        <v>398</v>
      </c>
      <c r="J35" s="183"/>
      <c r="K35" s="184"/>
    </row>
    <row r="36" spans="2:24" ht="55" customHeight="1">
      <c r="B36" s="255">
        <v>1</v>
      </c>
      <c r="C36" s="377" t="s">
        <v>328</v>
      </c>
      <c r="D36" s="377"/>
      <c r="E36" s="377"/>
      <c r="F36" s="377"/>
      <c r="G36" s="377"/>
      <c r="H36" s="377"/>
      <c r="I36" s="377"/>
      <c r="J36" s="183"/>
      <c r="K36" s="186"/>
      <c r="M36" s="31"/>
      <c r="N36" s="31"/>
      <c r="O36" s="31"/>
      <c r="P36" s="31"/>
      <c r="Q36" s="31"/>
      <c r="R36" s="31"/>
      <c r="S36" s="31"/>
      <c r="T36" s="31"/>
      <c r="U36" s="31"/>
      <c r="V36" s="31"/>
      <c r="W36" s="31"/>
      <c r="X36" s="31"/>
    </row>
    <row r="37" spans="2:24" s="12" customFormat="1" ht="55" customHeight="1">
      <c r="B37" s="255" cm="1">
        <f t="array" ref="B37">IF(SUM((DF_Calc!C23:J23="Yes")*TRANSPOSE(OverView_Calc!$B$2:$B$9))&gt;0,1,0)</f>
        <v>1</v>
      </c>
      <c r="C37" s="315"/>
      <c r="D37" s="161" t="s">
        <v>64</v>
      </c>
      <c r="E37" s="351" t="str">
        <f>DF_Calc!Q23</f>
        <v>💦 🌊🔥💨</v>
      </c>
      <c r="F37" s="316" t="s">
        <v>225</v>
      </c>
      <c r="G37" s="316"/>
      <c r="H37" s="316"/>
      <c r="I37" s="316"/>
      <c r="J37" s="183"/>
      <c r="K37" s="184"/>
    </row>
    <row r="38" spans="2:24" s="12" customFormat="1" ht="55" customHeight="1">
      <c r="B38" s="255" cm="1">
        <f t="array" ref="B38">IF(SUM((DF_Calc!C24:J24="Yes")*TRANSPOSE(OverView_Calc!$B$2:$B$9))&gt;0,1,0)</f>
        <v>1</v>
      </c>
      <c r="D38" s="161" t="s">
        <v>65</v>
      </c>
      <c r="E38" s="351" t="str">
        <f>DF_Calc!Q24</f>
        <v>💦 🌧 🌊🔥💨🌵 🌡☀️</v>
      </c>
      <c r="F38" s="313" t="s">
        <v>225</v>
      </c>
      <c r="G38" s="313"/>
      <c r="H38" s="313" t="s">
        <v>399</v>
      </c>
      <c r="I38" s="313" t="s">
        <v>400</v>
      </c>
      <c r="J38" s="183"/>
      <c r="K38" s="184"/>
    </row>
    <row r="39" spans="2:24" s="12" customFormat="1" ht="55" customHeight="1">
      <c r="B39" s="255" cm="1">
        <f t="array" ref="B39">IF(SUM((DF_Calc!C25:J25="Yes")*TRANSPOSE(OverView_Calc!$B$2:$B$9))&gt;0,1,0)</f>
        <v>1</v>
      </c>
      <c r="D39" s="162" t="s">
        <v>239</v>
      </c>
      <c r="E39" s="351" t="str">
        <f>DF_Calc!Q25</f>
        <v>💦 🌧 🌊🔥💨🌵 🌡☀️</v>
      </c>
      <c r="F39" s="318" t="s">
        <v>217</v>
      </c>
      <c r="G39" s="318" t="s">
        <v>401</v>
      </c>
      <c r="H39" s="318" t="s">
        <v>402</v>
      </c>
      <c r="I39" s="318" t="s">
        <v>403</v>
      </c>
      <c r="J39" s="183"/>
      <c r="K39" s="184"/>
    </row>
    <row r="40" spans="2:24" ht="55" customHeight="1">
      <c r="B40" s="255">
        <v>1</v>
      </c>
      <c r="C40" s="377" t="s">
        <v>224</v>
      </c>
      <c r="D40" s="377"/>
      <c r="E40" s="377"/>
      <c r="F40" s="377"/>
      <c r="G40" s="377"/>
      <c r="H40" s="377"/>
      <c r="I40" s="377"/>
      <c r="J40" s="183"/>
      <c r="K40" s="186"/>
      <c r="M40" s="31"/>
      <c r="N40" s="31"/>
      <c r="O40" s="31"/>
      <c r="P40" s="31"/>
      <c r="Q40" s="31"/>
      <c r="R40" s="31"/>
      <c r="S40" s="31"/>
      <c r="T40" s="31"/>
      <c r="U40" s="31"/>
      <c r="V40" s="31"/>
      <c r="W40" s="31"/>
      <c r="X40" s="31"/>
    </row>
    <row r="41" spans="2:24" s="12" customFormat="1" ht="55" customHeight="1">
      <c r="B41" s="255" cm="1">
        <f t="array" ref="B41">IF(SUM((DF_Calc!C27:J27="Yes")*TRANSPOSE(OverView_Calc!$B$2:$B$9))&gt;0,1,0)</f>
        <v>1</v>
      </c>
      <c r="C41" s="315"/>
      <c r="D41" s="161" t="s">
        <v>66</v>
      </c>
      <c r="E41" s="351" t="str">
        <f>DF_Calc!Q27</f>
        <v>💦 🌧 🌊🔥💨🌵 🌡☀️</v>
      </c>
      <c r="F41" s="316" t="s">
        <v>217</v>
      </c>
      <c r="G41" s="316" t="s">
        <v>404</v>
      </c>
      <c r="H41" s="316"/>
      <c r="I41" s="316"/>
      <c r="J41" s="183"/>
      <c r="K41" s="184"/>
    </row>
    <row r="42" spans="2:24" s="12" customFormat="1" ht="55" customHeight="1">
      <c r="B42" s="255" cm="1">
        <f t="array" ref="B42">IF(SUM((DF_Calc!C28:J28="Yes")*TRANSPOSE(OverView_Calc!$B$2:$B$9))&gt;0,1,0)</f>
        <v>1</v>
      </c>
      <c r="D42" s="161" t="s">
        <v>67</v>
      </c>
      <c r="E42" s="351" t="str">
        <f>DF_Calc!Q28</f>
        <v>💦 🌧 🌊🔥💨🌵 🌡☀️</v>
      </c>
      <c r="F42" s="313" t="s">
        <v>225</v>
      </c>
      <c r="G42" s="313"/>
      <c r="H42" s="313" t="s">
        <v>405</v>
      </c>
      <c r="I42" s="313" t="s">
        <v>406</v>
      </c>
      <c r="J42" s="183"/>
      <c r="K42" s="184"/>
    </row>
    <row r="43" spans="2:24" s="12" customFormat="1" ht="55" customHeight="1">
      <c r="B43" s="255" cm="1">
        <f t="array" ref="B43">IF(SUM((DF_Calc!C29:J29="Yes")*TRANSPOSE(OverView_Calc!$B$2:$B$9))&gt;0,1,0)</f>
        <v>1</v>
      </c>
      <c r="D43" s="163" t="s">
        <v>304</v>
      </c>
      <c r="E43" s="351" t="str">
        <f>DF_Calc!Q29</f>
        <v>💦 🌧 🌊🔥💨🌵 🌡☀️</v>
      </c>
      <c r="F43" s="318" t="s">
        <v>217</v>
      </c>
      <c r="G43" s="318" t="s">
        <v>407</v>
      </c>
      <c r="H43" s="318"/>
      <c r="I43" s="318" t="s">
        <v>408</v>
      </c>
      <c r="J43" s="183"/>
      <c r="K43" s="184"/>
    </row>
    <row r="44" spans="2:24" ht="55" customHeight="1">
      <c r="B44" s="255">
        <v>1</v>
      </c>
      <c r="C44" s="377" t="s">
        <v>223</v>
      </c>
      <c r="D44" s="377"/>
      <c r="E44" s="377"/>
      <c r="F44" s="377"/>
      <c r="G44" s="377"/>
      <c r="H44" s="377"/>
      <c r="I44" s="377"/>
      <c r="J44" s="183"/>
      <c r="K44" s="186"/>
      <c r="M44" s="31"/>
      <c r="N44" s="31"/>
      <c r="O44" s="31"/>
      <c r="P44" s="31"/>
      <c r="Q44" s="31"/>
      <c r="R44" s="31"/>
      <c r="S44" s="31"/>
      <c r="T44" s="31"/>
      <c r="U44" s="31"/>
      <c r="V44" s="31"/>
      <c r="W44" s="31"/>
      <c r="X44" s="31"/>
    </row>
    <row r="45" spans="2:24" s="12" customFormat="1" ht="55" customHeight="1">
      <c r="B45" s="255" cm="1">
        <f t="array" ref="B45">IF(SUM((DF_Calc!C31:J31="Yes")*TRANSPOSE(OverView_Calc!$B$2:$B$9))&gt;0,1,0)</f>
        <v>1</v>
      </c>
      <c r="C45" s="315"/>
      <c r="D45" s="161" t="s">
        <v>68</v>
      </c>
      <c r="E45" s="351" t="str">
        <f>DF_Calc!Q31</f>
        <v>💦 🌧 🌊🔥💨🌵 🌡☀️</v>
      </c>
      <c r="F45" s="316" t="s">
        <v>217</v>
      </c>
      <c r="G45" s="319" t="s">
        <v>409</v>
      </c>
      <c r="H45" s="319"/>
      <c r="I45" s="319"/>
      <c r="J45" s="183"/>
      <c r="K45" s="184"/>
    </row>
    <row r="46" spans="2:24" s="12" customFormat="1" ht="55" customHeight="1">
      <c r="B46" s="255" cm="1">
        <f t="array" ref="B46">IF(SUM((DF_Calc!C32:J32="Yes")*TRANSPOSE(OverView_Calc!$B$2:$B$9))&gt;0,1,0)</f>
        <v>1</v>
      </c>
      <c r="D46" s="162" t="s">
        <v>240</v>
      </c>
      <c r="E46" s="351" t="str">
        <f>DF_Calc!Q32</f>
        <v>💦 🌧 🌊🔥💨🌵 🌡☀️</v>
      </c>
      <c r="F46" s="318" t="s">
        <v>217</v>
      </c>
      <c r="G46" s="320" t="s">
        <v>410</v>
      </c>
      <c r="H46" s="320" t="s">
        <v>411</v>
      </c>
      <c r="I46" s="320" t="s">
        <v>412</v>
      </c>
      <c r="J46" s="183"/>
      <c r="K46" s="184"/>
    </row>
    <row r="47" spans="2:24" ht="55" customHeight="1">
      <c r="B47" s="255">
        <v>1</v>
      </c>
      <c r="C47" s="377" t="s">
        <v>329</v>
      </c>
      <c r="D47" s="377"/>
      <c r="E47" s="377"/>
      <c r="F47" s="377"/>
      <c r="G47" s="377"/>
      <c r="H47" s="377"/>
      <c r="I47" s="377"/>
      <c r="J47" s="183"/>
      <c r="K47" s="187"/>
      <c r="M47" s="31"/>
      <c r="N47" s="31"/>
      <c r="O47" s="31"/>
      <c r="P47" s="31"/>
      <c r="Q47" s="31"/>
      <c r="R47" s="31"/>
      <c r="S47" s="31"/>
      <c r="T47" s="31"/>
      <c r="U47" s="31"/>
      <c r="V47" s="31"/>
      <c r="W47" s="31"/>
      <c r="X47" s="31"/>
    </row>
    <row r="48" spans="2:24" ht="55" customHeight="1">
      <c r="B48" s="255">
        <v>1</v>
      </c>
      <c r="C48" s="321"/>
      <c r="D48" s="160" t="s">
        <v>241</v>
      </c>
      <c r="E48" s="351" t="str">
        <f>DF_Calc!Q33</f>
        <v/>
      </c>
      <c r="F48" s="316" t="s">
        <v>225</v>
      </c>
      <c r="G48" s="319"/>
      <c r="H48" s="319"/>
      <c r="I48" s="319" t="s">
        <v>413</v>
      </c>
      <c r="J48" s="183"/>
      <c r="K48" s="188"/>
    </row>
    <row r="49" spans="2:11" ht="55" customHeight="1">
      <c r="B49" s="255">
        <v>1</v>
      </c>
      <c r="D49" s="161" t="s">
        <v>69</v>
      </c>
      <c r="E49" s="351" t="str">
        <f>DF_Calc!Q34</f>
        <v/>
      </c>
      <c r="F49" s="313" t="s">
        <v>217</v>
      </c>
      <c r="G49" s="314" t="s">
        <v>414</v>
      </c>
      <c r="H49" s="314"/>
      <c r="I49" s="314"/>
      <c r="J49" s="183"/>
      <c r="K49" s="188"/>
    </row>
    <row r="50" spans="2:11" ht="55" customHeight="1">
      <c r="B50" s="255">
        <v>1</v>
      </c>
      <c r="D50" s="161" t="s">
        <v>70</v>
      </c>
      <c r="E50" s="351" t="str">
        <f>DF_Calc!Q35</f>
        <v/>
      </c>
      <c r="F50" s="313" t="s">
        <v>225</v>
      </c>
      <c r="G50" s="314"/>
      <c r="H50" s="314"/>
      <c r="I50" s="314"/>
      <c r="J50" s="183"/>
      <c r="K50" s="188"/>
    </row>
    <row r="51" spans="2:11" ht="27.5" customHeight="1" thickBot="1">
      <c r="B51" s="170"/>
      <c r="D51" s="206"/>
      <c r="E51" s="158"/>
      <c r="F51" s="207"/>
      <c r="G51" s="208"/>
      <c r="H51" s="208"/>
      <c r="I51" s="208"/>
      <c r="J51" s="183"/>
      <c r="K51" s="188"/>
    </row>
    <row r="52" spans="2:11" ht="24" customHeight="1">
      <c r="B52" s="170"/>
      <c r="C52" s="378" t="s">
        <v>181</v>
      </c>
      <c r="D52" s="379"/>
      <c r="E52" s="379"/>
      <c r="F52" s="379"/>
      <c r="G52" s="379"/>
      <c r="H52" s="379"/>
      <c r="I52" s="380"/>
      <c r="J52" s="183"/>
      <c r="K52" s="189"/>
    </row>
    <row r="53" spans="2:11" ht="57.5" customHeight="1" thickBot="1">
      <c r="B53" s="170"/>
      <c r="C53" s="312"/>
      <c r="D53" s="164" t="s">
        <v>226</v>
      </c>
      <c r="E53" s="159"/>
      <c r="F53" s="165" t="s">
        <v>217</v>
      </c>
      <c r="G53" s="196" t="s">
        <v>162</v>
      </c>
      <c r="H53" s="196" t="s">
        <v>234</v>
      </c>
      <c r="I53" s="197" t="s">
        <v>235</v>
      </c>
      <c r="J53" s="183"/>
      <c r="K53" s="190"/>
    </row>
    <row r="54" spans="2:11">
      <c r="B54" s="170"/>
      <c r="K54" s="172"/>
    </row>
    <row r="55" spans="2:11" ht="15" thickBot="1">
      <c r="B55" s="191"/>
      <c r="C55" s="192"/>
      <c r="D55" s="192"/>
      <c r="E55" s="193"/>
      <c r="F55" s="192"/>
      <c r="G55" s="192"/>
      <c r="H55" s="192"/>
      <c r="I55" s="192"/>
      <c r="J55" s="192"/>
      <c r="K55" s="194"/>
    </row>
    <row r="56" spans="2:11"/>
  </sheetData>
  <dataConsolidate/>
  <customSheetViews>
    <customSheetView guid="{2AB498D9-D32A-4EB2-B4F2-37A196616A87}">
      <pane ySplit="3" topLeftCell="A4" activePane="bottomLeft" state="frozen"/>
      <selection pane="bottomLeft" activeCell="E3" sqref="E3"/>
      <pageMargins left="0.7" right="0.7" top="0.75" bottom="0.75" header="0.3" footer="0.3"/>
    </customSheetView>
  </customSheetViews>
  <mergeCells count="13">
    <mergeCell ref="D14:I14"/>
    <mergeCell ref="D4:D12"/>
    <mergeCell ref="E4:G12"/>
    <mergeCell ref="C47:I47"/>
    <mergeCell ref="C52:I52"/>
    <mergeCell ref="C19:I19"/>
    <mergeCell ref="C18:D18"/>
    <mergeCell ref="C24:I24"/>
    <mergeCell ref="C30:I30"/>
    <mergeCell ref="C36:I36"/>
    <mergeCell ref="C40:I40"/>
    <mergeCell ref="C44:I44"/>
    <mergeCell ref="C4:C12"/>
  </mergeCells>
  <conditionalFormatting sqref="C20:J50">
    <cfRule type="expression" dxfId="36" priority="1">
      <formula>$B20=0</formula>
    </cfRule>
  </conditionalFormatting>
  <dataValidations xWindow="470" yWindow="635" count="2">
    <dataValidation type="list" allowBlank="1" showInputMessage="1" showErrorMessage="1" promptTitle="&lt; Integrated Design Feature &gt;" prompt="Is this design feature already intergrated into the technology?_x000a_Yes - Currently Intergated_x000a_No - Not Currently Integrated " sqref="F53 F51" xr:uid="{1093BB4A-7410-4A4A-BC5E-5A6F0DE1FB7D}">
      <formula1>"✅ Yes, ⛔️ No"</formula1>
    </dataValidation>
    <dataValidation type="list" allowBlank="1" showInputMessage="1" showErrorMessage="1" promptTitle="&lt; Integrated Design Feature &gt;" prompt="Is this design feature already intergrated into the technology?_x000a_Yes - Currently Intergated_x000a_No - Not Currently Integrated " sqref="F20:F23 F25:F29 F31:F35 F37:F39 F45:F46 F48:F50 F41:F43" xr:uid="{BF0FBC34-82A7-468F-9EAD-E23E1E8DAE11}">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5" id="{A99DF179-6EE2-9043-A065-1AB886FD306E}">
            <xm:f>DF_Calc!$C$4="⛔️ No"</xm:f>
            <x14:dxf>
              <font>
                <strike/>
                <color theme="0" tint="-4.9989318521683403E-2"/>
              </font>
              <fill>
                <patternFill>
                  <bgColor theme="1" tint="0.499984740745262"/>
                </patternFill>
              </fill>
            </x14:dxf>
          </x14:cfRule>
          <xm:sqref>I5</xm:sqref>
        </x14:conditionalFormatting>
        <x14:conditionalFormatting xmlns:xm="http://schemas.microsoft.com/office/excel/2006/main">
          <x14:cfRule type="expression" priority="7" id="{1AFBF4D3-6A1A-C74B-9588-298879D86702}">
            <xm:f>DF_Calc!$D$4="⛔️ No"</xm:f>
            <x14:dxf>
              <font>
                <strike/>
                <color theme="0" tint="-4.9989318521683403E-2"/>
              </font>
              <fill>
                <patternFill>
                  <bgColor theme="1" tint="0.499984740745262"/>
                </patternFill>
              </fill>
            </x14:dxf>
          </x14:cfRule>
          <xm:sqref>I6</xm:sqref>
        </x14:conditionalFormatting>
        <x14:conditionalFormatting xmlns:xm="http://schemas.microsoft.com/office/excel/2006/main">
          <x14:cfRule type="expression" priority="8" stopIfTrue="1" id="{55213584-60B3-0744-B766-FA89EF531D12}">
            <xm:f>DF_Calc!$E$4="⛔️ No"</xm:f>
            <x14:dxf>
              <font>
                <strike/>
                <color theme="0" tint="-4.9989318521683403E-2"/>
              </font>
              <fill>
                <patternFill>
                  <bgColor theme="1" tint="0.499984740745262"/>
                </patternFill>
              </fill>
            </x14:dxf>
          </x14:cfRule>
          <xm:sqref>I7</xm:sqref>
        </x14:conditionalFormatting>
        <x14:conditionalFormatting xmlns:xm="http://schemas.microsoft.com/office/excel/2006/main">
          <x14:cfRule type="expression" priority="9" stopIfTrue="1" id="{EEF4633F-25A7-CD44-85DF-F3E53EF7C76C}">
            <xm:f>DF_Calc!$F$4="⛔️ No"</xm:f>
            <x14:dxf>
              <font>
                <strike/>
                <color theme="0" tint="-4.9989318521683403E-2"/>
              </font>
              <fill>
                <patternFill>
                  <bgColor theme="1" tint="0.499984740745262"/>
                </patternFill>
              </fill>
            </x14:dxf>
          </x14:cfRule>
          <xm:sqref>I8</xm:sqref>
        </x14:conditionalFormatting>
        <x14:conditionalFormatting xmlns:xm="http://schemas.microsoft.com/office/excel/2006/main">
          <x14:cfRule type="expression" priority="10" stopIfTrue="1" id="{2454374E-2370-9747-AE79-BFBC4A1BC10E}">
            <xm:f>DF_Calc!$G$4="⛔️ No"</xm:f>
            <x14:dxf>
              <font>
                <strike/>
                <color theme="0" tint="-4.9989318521683403E-2"/>
              </font>
              <fill>
                <patternFill>
                  <bgColor theme="1" tint="0.499984740745262"/>
                </patternFill>
              </fill>
            </x14:dxf>
          </x14:cfRule>
          <xm:sqref>I9</xm:sqref>
        </x14:conditionalFormatting>
        <x14:conditionalFormatting xmlns:xm="http://schemas.microsoft.com/office/excel/2006/main">
          <x14:cfRule type="expression" priority="11" stopIfTrue="1" id="{A86F6273-8C24-1B4A-AB9B-D0E561B0EB52}">
            <xm:f>DF_Calc!$H$4="⛔️ No"</xm:f>
            <x14:dxf>
              <font>
                <strike/>
                <color theme="0" tint="-4.9989318521683403E-2"/>
              </font>
              <fill>
                <patternFill>
                  <bgColor theme="1" tint="0.499984740745262"/>
                </patternFill>
              </fill>
            </x14:dxf>
          </x14:cfRule>
          <xm:sqref>I10</xm:sqref>
        </x14:conditionalFormatting>
        <x14:conditionalFormatting xmlns:xm="http://schemas.microsoft.com/office/excel/2006/main">
          <x14:cfRule type="expression" priority="12" stopIfTrue="1" id="{C6E555E6-DF01-BC4B-8940-840F7C86374D}">
            <xm:f>DF_Calc!$I$4="⛔️ No"</xm:f>
            <x14:dxf>
              <font>
                <strike/>
                <color theme="0" tint="-4.9989318521683403E-2"/>
              </font>
              <fill>
                <patternFill>
                  <bgColor theme="1" tint="0.499984740745262"/>
                </patternFill>
              </fill>
            </x14:dxf>
          </x14:cfRule>
          <xm:sqref>I11</xm:sqref>
        </x14:conditionalFormatting>
        <x14:conditionalFormatting xmlns:xm="http://schemas.microsoft.com/office/excel/2006/main">
          <x14:cfRule type="expression" priority="13" id="{EF072F50-4995-EB43-92A2-B6737C8F369B}">
            <xm:f>DF_Calc!$J$4="⛔️ No"</xm:f>
            <x14:dxf>
              <font>
                <strike/>
                <color theme="0" tint="-4.9989318521683403E-2"/>
              </font>
              <fill>
                <patternFill>
                  <bgColor theme="1" tint="0.499984740745262"/>
                </patternFill>
              </fill>
            </x14:dxf>
          </x14:cfRule>
          <xm:sqref>I12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9D28B1"/>
  </sheetPr>
  <dimension ref="A1:ABQ20"/>
  <sheetViews>
    <sheetView showGridLines="0" showRowColHeaders="0" zoomScale="85" zoomScaleNormal="85" workbookViewId="0"/>
  </sheetViews>
  <sheetFormatPr baseColWidth="10" defaultColWidth="0" defaultRowHeight="14" zeroHeight="1"/>
  <cols>
    <col min="1" max="1" width="3.1640625" style="8" customWidth="1"/>
    <col min="2" max="2" width="3.83203125" style="8" customWidth="1"/>
    <col min="3" max="3" width="6" style="8" customWidth="1"/>
    <col min="4" max="4" width="24.6640625" style="8" customWidth="1"/>
    <col min="5" max="6" width="10.83203125" style="25" customWidth="1"/>
    <col min="7" max="7" width="10.5" style="25" customWidth="1"/>
    <col min="8" max="8" width="10.83203125" style="25" customWidth="1"/>
    <col min="9" max="9" width="13.6640625" style="8" customWidth="1"/>
    <col min="10" max="10" width="31.6640625" style="8" customWidth="1"/>
    <col min="11" max="11" width="55.5" style="8" customWidth="1"/>
    <col min="12" max="12" width="3.33203125" style="8" customWidth="1"/>
    <col min="13" max="14" width="3.1640625" style="8" customWidth="1"/>
    <col min="15" max="15" width="4.1640625" style="8" hidden="1" customWidth="1"/>
    <col min="16" max="743" width="0" style="8" hidden="1" customWidth="1"/>
    <col min="744" max="745" width="5.5" style="8" hidden="1" customWidth="1"/>
    <col min="746" max="16384" width="8.83203125" style="8" hidden="1"/>
  </cols>
  <sheetData>
    <row r="1" spans="2:13" ht="20" customHeight="1" thickBot="1"/>
    <row r="2" spans="2:13" ht="20" customHeight="1">
      <c r="B2" s="135"/>
      <c r="C2" s="136"/>
      <c r="D2" s="136"/>
      <c r="E2" s="137"/>
      <c r="F2" s="137"/>
      <c r="G2" s="137"/>
      <c r="H2" s="137"/>
      <c r="I2" s="136"/>
      <c r="J2" s="136"/>
      <c r="K2" s="136"/>
      <c r="L2" s="136"/>
      <c r="M2" s="138"/>
    </row>
    <row r="3" spans="2:13" ht="79" customHeight="1">
      <c r="B3" s="139"/>
      <c r="C3" s="324">
        <v>5</v>
      </c>
      <c r="D3" s="384" t="s">
        <v>165</v>
      </c>
      <c r="E3" s="384"/>
      <c r="F3" s="384"/>
      <c r="G3" s="384"/>
      <c r="H3" s="384"/>
      <c r="I3" s="384"/>
      <c r="J3" s="384"/>
      <c r="K3" s="152" t="s">
        <v>244</v>
      </c>
      <c r="L3" s="152"/>
      <c r="M3" s="141"/>
    </row>
    <row r="4" spans="2:13" ht="71" customHeight="1">
      <c r="B4" s="139"/>
      <c r="C4" s="153"/>
      <c r="D4" s="387" t="s">
        <v>332</v>
      </c>
      <c r="E4" s="387"/>
      <c r="F4" s="387"/>
      <c r="G4" s="387"/>
      <c r="H4" s="387"/>
      <c r="I4" s="387"/>
      <c r="J4" s="387"/>
      <c r="K4" s="387"/>
      <c r="L4" s="202"/>
      <c r="M4" s="141"/>
    </row>
    <row r="5" spans="2:13" ht="21" customHeight="1">
      <c r="B5" s="139"/>
      <c r="C5" s="219"/>
      <c r="D5" s="220"/>
      <c r="E5" s="220"/>
      <c r="F5" s="220"/>
      <c r="G5" s="220"/>
      <c r="H5" s="220"/>
      <c r="I5" s="220"/>
      <c r="J5" s="220"/>
      <c r="K5" s="221"/>
      <c r="L5" s="221"/>
      <c r="M5" s="141"/>
    </row>
    <row r="6" spans="2:13" ht="19" customHeight="1">
      <c r="B6" s="139"/>
      <c r="C6" s="140"/>
      <c r="D6" s="203"/>
      <c r="E6" s="385" t="s">
        <v>209</v>
      </c>
      <c r="F6" s="385"/>
      <c r="G6" s="385"/>
      <c r="H6" s="385"/>
      <c r="I6" s="385"/>
      <c r="J6" s="142"/>
      <c r="K6" s="142"/>
      <c r="L6" s="142"/>
      <c r="M6" s="141"/>
    </row>
    <row r="7" spans="2:13" ht="30" customHeight="1">
      <c r="B7" s="139"/>
      <c r="C7" s="140"/>
      <c r="D7" s="347"/>
      <c r="E7" s="346" t="s">
        <v>168</v>
      </c>
      <c r="F7" s="346" t="s">
        <v>169</v>
      </c>
      <c r="G7" s="346" t="s">
        <v>170</v>
      </c>
      <c r="H7" s="386" t="s">
        <v>172</v>
      </c>
      <c r="I7" s="386"/>
      <c r="J7" s="346" t="s">
        <v>245</v>
      </c>
      <c r="K7" s="143" t="s">
        <v>210</v>
      </c>
      <c r="L7" s="143"/>
      <c r="M7" s="141"/>
    </row>
    <row r="8" spans="2:13" ht="56" hidden="1" customHeight="1">
      <c r="B8" s="139"/>
      <c r="C8" s="144"/>
      <c r="D8" s="145" t="s">
        <v>160</v>
      </c>
      <c r="E8" s="146">
        <v>0.6</v>
      </c>
      <c r="F8" s="146">
        <v>0.2</v>
      </c>
      <c r="G8" s="146">
        <v>0.2</v>
      </c>
      <c r="H8" s="146" cm="1">
        <f t="array" ref="H8">SUMPRODUCT(E8:G8,TRANSPOSE(scoreWeight))</f>
        <v>0.30400000000000005</v>
      </c>
      <c r="I8" s="145" t="s">
        <v>164</v>
      </c>
      <c r="J8" s="145" t="s">
        <v>176</v>
      </c>
      <c r="K8" s="154" t="s">
        <v>161</v>
      </c>
      <c r="L8" s="154"/>
      <c r="M8" s="141"/>
    </row>
    <row r="9" spans="2:13" s="12" customFormat="1" ht="50" customHeight="1">
      <c r="B9" s="256" t="b">
        <f>OverView_Calc!B2</f>
        <v>1</v>
      </c>
      <c r="C9" s="349" t="s">
        <v>182</v>
      </c>
      <c r="D9" s="333" t="s">
        <v>0</v>
      </c>
      <c r="E9" s="334">
        <f>IFERROR(OverView_Calc!K2/SUM(OverView_Calc!$K2:$M2),0)</f>
        <v>7.6923076923076927E-2</v>
      </c>
      <c r="F9" s="334">
        <f>IFERROR(OverView_Calc!L2/SUM(OverView_Calc!$K2:$M2),0)</f>
        <v>0.69230769230769229</v>
      </c>
      <c r="G9" s="334">
        <f>IFERROR(OverView_Calc!M2/SUM(OverView_Calc!$K2:$M2),0)</f>
        <v>0.23076923076923078</v>
      </c>
      <c r="H9" s="335" cm="1">
        <f t="array" ref="H9">SUMPRODUCT(E9:G9,TRANSPOSE(scoreWeight))</f>
        <v>0.57538461538461538</v>
      </c>
      <c r="I9" s="336" t="str">
        <f t="shared" ref="I9:I16" si="0">IF(H9&lt;0.33,"Low Impact",IF(H9&lt;0.66,"Moderate Impact","High Impact"))</f>
        <v>Moderate Impact</v>
      </c>
      <c r="J9" s="337" t="s">
        <v>175</v>
      </c>
      <c r="K9" s="338" t="s">
        <v>422</v>
      </c>
      <c r="L9" s="117"/>
      <c r="M9" s="147"/>
    </row>
    <row r="10" spans="2:13" s="12" customFormat="1" ht="50" customHeight="1">
      <c r="B10" s="256" t="b">
        <f>OverView_Calc!B3</f>
        <v>1</v>
      </c>
      <c r="C10" s="349" t="s">
        <v>189</v>
      </c>
      <c r="D10" s="327" t="s">
        <v>21</v>
      </c>
      <c r="E10" s="328">
        <f>IFERROR(OverView_Calc!K3/SUM(OverView_Calc!$K3:$M3),0)</f>
        <v>0.75</v>
      </c>
      <c r="F10" s="328">
        <f>IFERROR(OverView_Calc!L3/SUM(OverView_Calc!$K3:$M3),0)</f>
        <v>0.25</v>
      </c>
      <c r="G10" s="328">
        <f>IFERROR(OverView_Calc!M3/SUM(OverView_Calc!$K3:$M3),0)</f>
        <v>0</v>
      </c>
      <c r="H10" s="329" cm="1">
        <f t="array" ref="H10">SUMPRODUCT(E10:G10,TRANSPOSE(scoreWeight))</f>
        <v>0.13250000000000001</v>
      </c>
      <c r="I10" s="330" t="str">
        <f t="shared" si="0"/>
        <v>Low Impact</v>
      </c>
      <c r="J10" s="331" t="s">
        <v>176</v>
      </c>
      <c r="K10" s="339" t="s">
        <v>415</v>
      </c>
      <c r="L10" s="117"/>
      <c r="M10" s="147"/>
    </row>
    <row r="11" spans="2:13" s="12" customFormat="1" ht="50" customHeight="1">
      <c r="B11" s="256" t="b">
        <f>OverView_Calc!B4</f>
        <v>1</v>
      </c>
      <c r="C11" s="349" t="s">
        <v>216</v>
      </c>
      <c r="D11" s="327" t="s">
        <v>22</v>
      </c>
      <c r="E11" s="328">
        <f>IFERROR(OverView_Calc!K4/SUM(OverView_Calc!$K4:$M4),0)</f>
        <v>0.14285714285714285</v>
      </c>
      <c r="F11" s="328">
        <f>IFERROR(OverView_Calc!L4/SUM(OverView_Calc!$K4:$M4),0)</f>
        <v>0.6428571428571429</v>
      </c>
      <c r="G11" s="328">
        <f>IFERROR(OverView_Calc!M4/SUM(OverView_Calc!$K4:$M4),0)</f>
        <v>0.21428571428571427</v>
      </c>
      <c r="H11" s="329" cm="1">
        <f t="array" ref="H11">SUMPRODUCT(E11:G11,TRANSPOSE(scoreWeight))</f>
        <v>0.53500000000000003</v>
      </c>
      <c r="I11" s="330" t="str">
        <f t="shared" si="0"/>
        <v>Moderate Impact</v>
      </c>
      <c r="J11" s="331" t="s">
        <v>174</v>
      </c>
      <c r="K11" s="339" t="s">
        <v>423</v>
      </c>
      <c r="L11" s="117"/>
      <c r="M11" s="147"/>
    </row>
    <row r="12" spans="2:13" s="12" customFormat="1" ht="50" customHeight="1">
      <c r="B12" s="256" t="b">
        <f>OverView_Calc!B5</f>
        <v>1</v>
      </c>
      <c r="C12" s="349" t="s">
        <v>190</v>
      </c>
      <c r="D12" s="332" t="s">
        <v>23</v>
      </c>
      <c r="E12" s="328">
        <f>IFERROR(OverView_Calc!K5/SUM(OverView_Calc!$K5:$M5),0)</f>
        <v>0.33333333333333331</v>
      </c>
      <c r="F12" s="328">
        <f>IFERROR(OverView_Calc!L5/SUM(OverView_Calc!$K5:$M5),0)</f>
        <v>0.33333333333333331</v>
      </c>
      <c r="G12" s="328">
        <f>IFERROR(OverView_Calc!M5/SUM(OverView_Calc!$K5:$M5),0)</f>
        <v>0.33333333333333331</v>
      </c>
      <c r="H12" s="329" cm="1">
        <f t="array" ref="H12">SUMPRODUCT(E12:G12,TRANSPOSE(scoreWeight))</f>
        <v>0.49999999999999994</v>
      </c>
      <c r="I12" s="330" t="str">
        <f t="shared" si="0"/>
        <v>Moderate Impact</v>
      </c>
      <c r="J12" s="331" t="s">
        <v>176</v>
      </c>
      <c r="K12" s="339" t="s">
        <v>418</v>
      </c>
      <c r="L12" s="117"/>
      <c r="M12" s="147"/>
    </row>
    <row r="13" spans="2:13" s="12" customFormat="1" ht="50" customHeight="1">
      <c r="B13" s="256" t="b">
        <f>OverView_Calc!B6</f>
        <v>1</v>
      </c>
      <c r="C13" s="349" t="s">
        <v>215</v>
      </c>
      <c r="D13" s="327" t="s">
        <v>24</v>
      </c>
      <c r="E13" s="328">
        <f>IFERROR(OverView_Calc!K6/SUM(OverView_Calc!$K6:$M6),0)</f>
        <v>0.5</v>
      </c>
      <c r="F13" s="328">
        <f>IFERROR(OverView_Calc!L6/SUM(OverView_Calc!$K6:$M6),0)</f>
        <v>0.25</v>
      </c>
      <c r="G13" s="328">
        <f>IFERROR(OverView_Calc!M6/SUM(OverView_Calc!$K6:$M6),0)</f>
        <v>0.25</v>
      </c>
      <c r="H13" s="329" cm="1">
        <f t="array" ref="H13">SUMPRODUCT(E13:G13,TRANSPOSE(scoreWeight))</f>
        <v>0.3775</v>
      </c>
      <c r="I13" s="330" t="str">
        <f t="shared" si="0"/>
        <v>Moderate Impact</v>
      </c>
      <c r="J13" s="331" t="s">
        <v>176</v>
      </c>
      <c r="K13" s="339" t="s">
        <v>419</v>
      </c>
      <c r="L13" s="117"/>
      <c r="M13" s="147"/>
    </row>
    <row r="14" spans="2:13" s="12" customFormat="1" ht="50" customHeight="1">
      <c r="B14" s="256" t="b">
        <f>OverView_Calc!B7</f>
        <v>1</v>
      </c>
      <c r="C14" s="349" t="s">
        <v>191</v>
      </c>
      <c r="D14" s="327" t="s">
        <v>25</v>
      </c>
      <c r="E14" s="328">
        <f>IFERROR(OverView_Calc!K7/SUM(OverView_Calc!$K7:$M7),0)</f>
        <v>0.2857142857142857</v>
      </c>
      <c r="F14" s="328">
        <f>IFERROR(OverView_Calc!L7/SUM(OverView_Calc!$K7:$M7),0)</f>
        <v>0.5714285714285714</v>
      </c>
      <c r="G14" s="328">
        <f>IFERROR(OverView_Calc!M7/SUM(OverView_Calc!$K7:$M7),0)</f>
        <v>0.14285714285714285</v>
      </c>
      <c r="H14" s="329" cm="1">
        <f t="array" ref="H14">SUMPRODUCT(E14:G14,TRANSPOSE(scoreWeight))</f>
        <v>0.42999999999999994</v>
      </c>
      <c r="I14" s="330" t="str">
        <f t="shared" si="0"/>
        <v>Moderate Impact</v>
      </c>
      <c r="J14" s="331" t="s">
        <v>175</v>
      </c>
      <c r="K14" s="339" t="s">
        <v>424</v>
      </c>
      <c r="L14" s="117"/>
      <c r="M14" s="147"/>
    </row>
    <row r="15" spans="2:13" s="12" customFormat="1" ht="50" customHeight="1">
      <c r="B15" s="256" t="b">
        <f>OverView_Calc!B8</f>
        <v>1</v>
      </c>
      <c r="C15" s="349" t="s">
        <v>192</v>
      </c>
      <c r="D15" s="332" t="s">
        <v>26</v>
      </c>
      <c r="E15" s="328">
        <f>IFERROR(OverView_Calc!K8/SUM(OverView_Calc!$K8:$M8),0)</f>
        <v>1</v>
      </c>
      <c r="F15" s="328">
        <f>IFERROR(OverView_Calc!L8/SUM(OverView_Calc!$K8:$M8),0)</f>
        <v>0</v>
      </c>
      <c r="G15" s="328">
        <f>IFERROR(OverView_Calc!M8/SUM(OverView_Calc!$K8:$M8),0)</f>
        <v>0</v>
      </c>
      <c r="H15" s="329" cm="1">
        <f t="array" ref="H15">SUMPRODUCT(E15:G15,TRANSPOSE(scoreWeight))</f>
        <v>0.01</v>
      </c>
      <c r="I15" s="330" t="str">
        <f t="shared" si="0"/>
        <v>Low Impact</v>
      </c>
      <c r="J15" s="331" t="s">
        <v>176</v>
      </c>
      <c r="K15" s="339" t="s">
        <v>420</v>
      </c>
      <c r="L15" s="117"/>
      <c r="M15" s="147"/>
    </row>
    <row r="16" spans="2:13" s="12" customFormat="1" ht="50" customHeight="1">
      <c r="B16" s="256" t="b">
        <f>OverView_Calc!B9</f>
        <v>1</v>
      </c>
      <c r="C16" s="349" t="s">
        <v>213</v>
      </c>
      <c r="D16" s="340" t="s">
        <v>27</v>
      </c>
      <c r="E16" s="341">
        <f>IFERROR(OverView_Calc!K9/SUM(OverView_Calc!$K9:$M9),0)</f>
        <v>1</v>
      </c>
      <c r="F16" s="341">
        <f>IFERROR(OverView_Calc!L9/SUM(OverView_Calc!$K9:$M9),0)</f>
        <v>0</v>
      </c>
      <c r="G16" s="341">
        <f>IFERROR(OverView_Calc!M9/SUM(OverView_Calc!$K9:$M9),0)</f>
        <v>0</v>
      </c>
      <c r="H16" s="342" cm="1">
        <f t="array" ref="H16">SUMPRODUCT(E16:G16,TRANSPOSE(scoreWeight))</f>
        <v>0.01</v>
      </c>
      <c r="I16" s="343" t="str">
        <f t="shared" si="0"/>
        <v>Low Impact</v>
      </c>
      <c r="J16" s="344" t="s">
        <v>176</v>
      </c>
      <c r="K16" s="345" t="s">
        <v>421</v>
      </c>
      <c r="L16" s="117"/>
      <c r="M16" s="147"/>
    </row>
    <row r="17" spans="2:13" ht="20" customHeight="1" thickBot="1">
      <c r="B17" s="148"/>
      <c r="C17" s="149"/>
      <c r="D17" s="149"/>
      <c r="E17" s="150"/>
      <c r="F17" s="150"/>
      <c r="G17" s="150"/>
      <c r="H17" s="150"/>
      <c r="I17" s="149"/>
      <c r="J17" s="149"/>
      <c r="K17" s="149"/>
      <c r="L17" s="149"/>
      <c r="M17" s="151"/>
    </row>
    <row r="18" spans="2:13" ht="20" customHeight="1">
      <c r="I18"/>
      <c r="J18"/>
    </row>
    <row r="19" spans="2:13" ht="14" hidden="1" customHeight="1">
      <c r="D19"/>
      <c r="E19" s="26"/>
      <c r="F19" s="26"/>
      <c r="G19" s="26"/>
      <c r="H19" s="26"/>
      <c r="I19"/>
      <c r="J19"/>
    </row>
    <row r="20" spans="2:13" ht="18.5" hidden="1" customHeight="1">
      <c r="D20"/>
      <c r="E20" s="26"/>
      <c r="F20" s="26"/>
      <c r="G20" s="26"/>
      <c r="H20" s="26"/>
      <c r="I20"/>
      <c r="J20"/>
    </row>
  </sheetData>
  <mergeCells count="4">
    <mergeCell ref="D3:J3"/>
    <mergeCell ref="E6:I6"/>
    <mergeCell ref="H7:I7"/>
    <mergeCell ref="D4:K4"/>
  </mergeCells>
  <conditionalFormatting sqref="C9:K16">
    <cfRule type="expression" dxfId="27" priority="1">
      <formula>$B9=FALSE</formula>
    </cfRule>
  </conditionalFormatting>
  <conditionalFormatting sqref="J9:J16">
    <cfRule type="expression" dxfId="26" priority="2">
      <formula>J9="Low Resilience"</formula>
    </cfRule>
    <cfRule type="expression" dxfId="25" priority="3">
      <formula>J9="Medium Resilience"</formula>
    </cfRule>
    <cfRule type="expression" dxfId="24" priority="4">
      <formula>J9="High Resilience"</formula>
    </cfRule>
  </conditionalFormatting>
  <dataValidations count="2">
    <dataValidation type="list" allowBlank="1" showInputMessage="1" showErrorMessage="1" sqref="J8" xr:uid="{0D307AE8-E4A1-4E3D-878F-F4A12C1A0B3C}">
      <formula1>resilienceRating</formula1>
    </dataValidation>
    <dataValidation type="list" allowBlank="1" showInputMessage="1" showErrorMessage="1" promptTitle="&lt; Resilience Level &gt;" prompt="Low Resilence = Likely to fail or have extended outage_x000a__x000a_Medium resilience = reduced ST performance or temporary outage_x000a__x000a_High resilience = continues to function_x000a_" sqref="J9:J16" xr:uid="{182C4709-FAE0-9D42-950A-32D36FDCD4CF}">
      <formula1>resilienceRating</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6" id="{00000000-000E-0000-0500-000006000000}">
            <x14:iconSet iconSet="3Symbols" showValue="0" custom="1">
              <x14:cfvo type="percent">
                <xm:f>0</xm:f>
              </x14:cfvo>
              <x14:cfvo type="num">
                <xm:f>0.33</xm:f>
              </x14:cfvo>
              <x14:cfvo type="num">
                <xm:f>0.66</xm:f>
              </x14:cfvo>
              <x14:cfIcon iconSet="3Symbols" iconId="2"/>
              <x14:cfIcon iconSet="3Symbols" iconId="1"/>
              <x14:cfIcon iconSet="3Symbols" iconId="0"/>
            </x14:iconSet>
          </x14:cfRule>
          <xm:sqref>H9:H16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8" tint="0.79998168889431442"/>
    <pageSetUpPr fitToPage="1"/>
  </sheetPr>
  <dimension ref="A1:L40"/>
  <sheetViews>
    <sheetView showGridLines="0" showRowColHeaders="0" showRuler="0" zoomScaleNormal="100" zoomScalePageLayoutView="85" workbookViewId="0"/>
  </sheetViews>
  <sheetFormatPr baseColWidth="10" defaultColWidth="0" defaultRowHeight="14" zeroHeight="1"/>
  <cols>
    <col min="1" max="1" width="3.33203125" style="8" customWidth="1"/>
    <col min="2" max="2" width="3.33203125" style="19" customWidth="1"/>
    <col min="3" max="3" width="10.1640625" style="8" customWidth="1"/>
    <col min="4" max="4" width="28" style="10" customWidth="1"/>
    <col min="5" max="5" width="6.83203125" style="8" customWidth="1"/>
    <col min="6" max="6" width="17.1640625" style="8" customWidth="1"/>
    <col min="7" max="7" width="6.83203125" style="8" customWidth="1"/>
    <col min="8" max="8" width="14.1640625" style="8" customWidth="1"/>
    <col min="9" max="9" width="4.1640625" style="8" customWidth="1"/>
    <col min="10" max="11" width="3.33203125" style="8" customWidth="1"/>
    <col min="12" max="12" width="3.1640625" style="8" hidden="1" customWidth="1"/>
    <col min="13" max="16384" width="6.6640625" style="8" hidden="1"/>
  </cols>
  <sheetData>
    <row r="1" spans="2:10" ht="19" customHeight="1" thickBot="1"/>
    <row r="2" spans="2:10" ht="19" customHeight="1">
      <c r="B2" s="257"/>
      <c r="C2" s="128"/>
      <c r="D2" s="129"/>
      <c r="E2" s="128"/>
      <c r="F2" s="128"/>
      <c r="G2" s="128"/>
      <c r="H2" s="128"/>
      <c r="I2" s="128"/>
      <c r="J2" s="130"/>
    </row>
    <row r="3" spans="2:10" ht="19" customHeight="1">
      <c r="B3" s="258"/>
      <c r="C3" s="390" t="s">
        <v>208</v>
      </c>
      <c r="D3" s="390"/>
      <c r="E3" s="390"/>
      <c r="F3" s="390"/>
      <c r="G3" s="390"/>
      <c r="H3" s="390"/>
      <c r="I3" s="390"/>
      <c r="J3" s="131"/>
    </row>
    <row r="4" spans="2:10" ht="19" customHeight="1">
      <c r="B4" s="258"/>
      <c r="C4" s="390"/>
      <c r="D4" s="390"/>
      <c r="E4" s="390"/>
      <c r="F4" s="390"/>
      <c r="G4" s="390"/>
      <c r="H4" s="390"/>
      <c r="I4" s="390"/>
      <c r="J4" s="131"/>
    </row>
    <row r="5" spans="2:10" ht="11.25" customHeight="1">
      <c r="B5" s="258"/>
      <c r="J5" s="131"/>
    </row>
    <row r="6" spans="2:10" ht="14" customHeight="1">
      <c r="B6" s="258"/>
      <c r="C6" s="389" t="s">
        <v>246</v>
      </c>
      <c r="D6" s="389"/>
      <c r="E6" s="389"/>
      <c r="F6" s="392" t="s">
        <v>243</v>
      </c>
      <c r="G6" s="222"/>
      <c r="H6" s="391" t="s">
        <v>316</v>
      </c>
      <c r="I6" s="261"/>
      <c r="J6" s="131"/>
    </row>
    <row r="7" spans="2:10" ht="14" customHeight="1">
      <c r="B7" s="258"/>
      <c r="C7" s="389"/>
      <c r="D7" s="389"/>
      <c r="E7" s="389"/>
      <c r="F7" s="392"/>
      <c r="G7" s="222"/>
      <c r="H7" s="391"/>
      <c r="I7" s="261"/>
      <c r="J7" s="131"/>
    </row>
    <row r="8" spans="2:10" ht="11.25" customHeight="1">
      <c r="B8" s="258"/>
      <c r="D8" s="132"/>
      <c r="E8" s="20"/>
      <c r="F8" s="20"/>
      <c r="G8" s="20"/>
      <c r="J8" s="131"/>
    </row>
    <row r="9" spans="2:10" s="21" customFormat="1" ht="20" hidden="1" customHeight="1">
      <c r="B9" s="259"/>
      <c r="C9" s="283" t="s">
        <v>201</v>
      </c>
      <c r="D9" s="284" t="s">
        <v>202</v>
      </c>
      <c r="E9" s="133" t="s">
        <v>203</v>
      </c>
      <c r="F9" s="133" t="s">
        <v>293</v>
      </c>
      <c r="G9" s="133" t="s">
        <v>204</v>
      </c>
      <c r="H9" s="285" t="s">
        <v>206</v>
      </c>
      <c r="I9" s="285" t="s">
        <v>207</v>
      </c>
      <c r="J9" s="134"/>
    </row>
    <row r="10" spans="2:10" ht="26.75" customHeight="1">
      <c r="B10" s="260" t="b">
        <f>OverView_Calc!B2</f>
        <v>1</v>
      </c>
      <c r="C10" s="354" t="s">
        <v>182</v>
      </c>
      <c r="D10" s="286" t="s">
        <v>0</v>
      </c>
      <c r="E10" s="287"/>
      <c r="F10" s="288" t="str">
        <f>OverView_Calc!F2</f>
        <v>Moderate Impact</v>
      </c>
      <c r="G10" s="287"/>
      <c r="H10" s="288" t="str">
        <f>OverView_Calc!H2</f>
        <v>Medium Resilience</v>
      </c>
      <c r="I10" s="289"/>
      <c r="J10" s="131"/>
    </row>
    <row r="11" spans="2:10" ht="40.25" customHeight="1">
      <c r="B11" s="260" t="b">
        <v>1</v>
      </c>
      <c r="C11" s="126"/>
      <c r="D11" s="388" t="str">
        <f>OverView_Calc!J2</f>
        <v xml:space="preserve">The structural integrityof the ABR is resilient to floods, though inlet pipes may be disturbed if not buried. A risk for floods is inundation/increased flow into chambers reducing retention time and treatment effectiveness. It could also "blow" manholes and lead to pollution. </v>
      </c>
      <c r="E11" s="388"/>
      <c r="F11" s="388"/>
      <c r="G11" s="388"/>
      <c r="H11" s="388"/>
      <c r="I11" s="127"/>
      <c r="J11" s="131"/>
    </row>
    <row r="12" spans="2:10" ht="26.75" customHeight="1">
      <c r="B12" s="260" t="b">
        <f>OverView_Calc!B3</f>
        <v>1</v>
      </c>
      <c r="C12" s="354" t="s">
        <v>189</v>
      </c>
      <c r="D12" s="286" t="s">
        <v>93</v>
      </c>
      <c r="E12" s="287"/>
      <c r="F12" s="288" t="str">
        <f>OverView_Calc!F3</f>
        <v>Low Impact</v>
      </c>
      <c r="G12" s="287"/>
      <c r="H12" s="288" t="str">
        <f>OverView_Calc!H3</f>
        <v>High Resilience</v>
      </c>
      <c r="I12" s="289"/>
      <c r="J12" s="131"/>
    </row>
    <row r="13" spans="2:10" ht="40.25" customHeight="1">
      <c r="B13" s="260" t="b">
        <v>1</v>
      </c>
      <c r="C13" s="126"/>
      <c r="D13" s="388" t="str">
        <f>OverView_Calc!J3</f>
        <v>The ABR is able to buffer changes in precipitation patterns, it is unlikely to create serious impacts.</v>
      </c>
      <c r="E13" s="388"/>
      <c r="F13" s="388"/>
      <c r="G13" s="388"/>
      <c r="H13" s="388"/>
      <c r="I13" s="127"/>
      <c r="J13" s="131"/>
    </row>
    <row r="14" spans="2:10" ht="26.75" customHeight="1">
      <c r="B14" s="260" t="b">
        <f>OverView_Calc!B4</f>
        <v>1</v>
      </c>
      <c r="C14" s="354" t="s">
        <v>216</v>
      </c>
      <c r="D14" s="286" t="s">
        <v>94</v>
      </c>
      <c r="E14" s="287"/>
      <c r="F14" s="288" t="str">
        <f>OverView_Calc!F4</f>
        <v>Moderate Impact</v>
      </c>
      <c r="G14" s="287"/>
      <c r="H14" s="288" t="str">
        <f>OverView_Calc!H4</f>
        <v>Low Resilience</v>
      </c>
      <c r="I14" s="289"/>
      <c r="J14" s="131"/>
    </row>
    <row r="15" spans="2:10" ht="40.25" customHeight="1">
      <c r="B15" s="260" t="b">
        <v>1</v>
      </c>
      <c r="C15" s="126"/>
      <c r="D15" s="388" t="str">
        <f>OverView_Calc!J4</f>
        <v>Inlet pipes may be disturbed if not buried. Inundation/increased flow into chambers reducing retention time and treatment effectiveness. It could also "blow" manholes and lead to faecal pollution of the environment. Salt water may impact the biota temporarily in the ABR.</v>
      </c>
      <c r="E15" s="388"/>
      <c r="F15" s="388"/>
      <c r="G15" s="388"/>
      <c r="H15" s="388"/>
      <c r="I15" s="127"/>
      <c r="J15" s="131"/>
    </row>
    <row r="16" spans="2:10" ht="26.75" customHeight="1">
      <c r="B16" s="260" t="b">
        <f>OverView_Calc!B5</f>
        <v>1</v>
      </c>
      <c r="C16" s="354" t="s">
        <v>190</v>
      </c>
      <c r="D16" s="286" t="s">
        <v>95</v>
      </c>
      <c r="E16" s="287"/>
      <c r="F16" s="288" t="str">
        <f>OverView_Calc!F5</f>
        <v>Moderate Impact</v>
      </c>
      <c r="G16" s="287"/>
      <c r="H16" s="288" t="str">
        <f>OverView_Calc!H5</f>
        <v>High Resilience</v>
      </c>
      <c r="I16" s="289"/>
      <c r="J16" s="131"/>
    </row>
    <row r="17" spans="2:10" ht="40.25" customHeight="1">
      <c r="B17" s="260" t="b">
        <v>1</v>
      </c>
      <c r="C17" s="126"/>
      <c r="D17" s="388" t="str">
        <f>OverView_Calc!J5</f>
        <v>Fires are likely to have a low impact on the main ABR structure as it is concrete and buried. However, fires may impact any exposed inlet pipes, though if they are exposed they would also be easy/fast to repair.</v>
      </c>
      <c r="E17" s="388"/>
      <c r="F17" s="388"/>
      <c r="G17" s="388"/>
      <c r="H17" s="388"/>
      <c r="I17" s="127"/>
      <c r="J17" s="131"/>
    </row>
    <row r="18" spans="2:10" ht="26.75" customHeight="1">
      <c r="B18" s="260" t="b">
        <f>OverView_Calc!B6</f>
        <v>1</v>
      </c>
      <c r="C18" s="354" t="s">
        <v>215</v>
      </c>
      <c r="D18" s="286" t="s">
        <v>96</v>
      </c>
      <c r="E18" s="290"/>
      <c r="F18" s="288" t="str">
        <f>OverView_Calc!F6</f>
        <v>Moderate Impact</v>
      </c>
      <c r="G18" s="290"/>
      <c r="H18" s="288" t="str">
        <f>OverView_Calc!H6</f>
        <v>High Resilience</v>
      </c>
      <c r="I18" s="289"/>
      <c r="J18" s="131"/>
    </row>
    <row r="19" spans="2:10" ht="40.25" customHeight="1">
      <c r="B19" s="260" t="b">
        <v>1</v>
      </c>
      <c r="C19" s="126"/>
      <c r="D19" s="388" t="str">
        <f>OverView_Calc!J6</f>
        <v>Winds are considered low risk for the ABR. The main risk from winds is additional debris that may enter the system though this is unlikely as entry points for debris are inside dwellings and into the toilet.</v>
      </c>
      <c r="E19" s="388"/>
      <c r="F19" s="388"/>
      <c r="G19" s="388"/>
      <c r="H19" s="388"/>
      <c r="I19" s="127"/>
      <c r="J19" s="131"/>
    </row>
    <row r="20" spans="2:10" ht="26.75" customHeight="1">
      <c r="B20" s="260" t="b">
        <f>OverView_Calc!B7</f>
        <v>1</v>
      </c>
      <c r="C20" s="354" t="s">
        <v>191</v>
      </c>
      <c r="D20" s="286" t="s">
        <v>25</v>
      </c>
      <c r="E20" s="290"/>
      <c r="F20" s="288" t="str">
        <f>OverView_Calc!F7</f>
        <v>Moderate Impact</v>
      </c>
      <c r="G20" s="290"/>
      <c r="H20" s="288" t="str">
        <f>OverView_Calc!H7</f>
        <v>Medium Resilience</v>
      </c>
      <c r="I20" s="289"/>
      <c r="J20" s="131"/>
    </row>
    <row r="21" spans="2:10" ht="40.25" customHeight="1">
      <c r="B21" s="260" t="b">
        <v>1</v>
      </c>
      <c r="C21" s="126"/>
      <c r="D21" s="388" t="str">
        <f>OverView_Calc!J7</f>
        <v>Droughts may reduce the water available for flushing needed to move faecal/sewage into the ABR. Droughts would likely not impact the treatment efficacy as it would lead to increased residence time in the treatment train. Doughts would also reduce the dilution at any discharge points/waters</v>
      </c>
      <c r="E21" s="388"/>
      <c r="F21" s="388"/>
      <c r="G21" s="388"/>
      <c r="H21" s="388"/>
      <c r="I21" s="127"/>
      <c r="J21" s="131"/>
    </row>
    <row r="22" spans="2:10" ht="26.75" customHeight="1">
      <c r="B22" s="260" t="b">
        <f>OverView_Calc!B8</f>
        <v>1</v>
      </c>
      <c r="C22" s="354" t="s">
        <v>192</v>
      </c>
      <c r="D22" s="286" t="s">
        <v>97</v>
      </c>
      <c r="E22" s="290"/>
      <c r="F22" s="288" t="str">
        <f>OverView_Calc!F8</f>
        <v>Low Impact</v>
      </c>
      <c r="G22" s="290"/>
      <c r="H22" s="288" t="str">
        <f>OverView_Calc!H8</f>
        <v>High Resilience</v>
      </c>
      <c r="I22" s="289"/>
      <c r="J22" s="131"/>
    </row>
    <row r="23" spans="2:10" ht="40.25" customHeight="1">
      <c r="B23" s="260" t="b">
        <v>1</v>
      </c>
      <c r="C23" s="126"/>
      <c r="D23" s="388" t="str">
        <f>OverView_Calc!J8</f>
        <v>Changes in air temperature are unlikely to have any impacts on the ABR. They may cause some fluctuations in the treatment processes, these would be expected to be minor in this location</v>
      </c>
      <c r="E23" s="388"/>
      <c r="F23" s="388"/>
      <c r="G23" s="388"/>
      <c r="H23" s="388"/>
      <c r="I23" s="127"/>
      <c r="J23" s="131"/>
    </row>
    <row r="24" spans="2:10" ht="26.75" customHeight="1">
      <c r="B24" s="260" t="b">
        <f>OverView_Calc!B9</f>
        <v>1</v>
      </c>
      <c r="C24" s="354" t="s">
        <v>213</v>
      </c>
      <c r="D24" s="286" t="s">
        <v>98</v>
      </c>
      <c r="E24" s="290"/>
      <c r="F24" s="288" t="str">
        <f>OverView_Calc!F9</f>
        <v>Low Impact</v>
      </c>
      <c r="G24" s="290"/>
      <c r="H24" s="288" t="str">
        <f>OverView_Calc!H9</f>
        <v>High Resilience</v>
      </c>
      <c r="I24" s="289"/>
      <c r="J24" s="131"/>
    </row>
    <row r="25" spans="2:10" ht="40.25" customHeight="1">
      <c r="B25" s="258" t="b">
        <f>TRUE</f>
        <v>1</v>
      </c>
      <c r="C25" s="126"/>
      <c r="D25" s="388" t="str">
        <f>OverView_Calc!J9</f>
        <v>Extreme heat is unlikely to have any impacts on the ABR. Events may cause some fluctuations in the treatment processes, these would be expected to be minor.</v>
      </c>
      <c r="E25" s="388"/>
      <c r="F25" s="388"/>
      <c r="G25" s="388"/>
      <c r="H25" s="388"/>
      <c r="I25" s="127"/>
      <c r="J25" s="131"/>
    </row>
    <row r="26" spans="2:10" ht="10.25" customHeight="1" thickBot="1">
      <c r="B26" s="292"/>
      <c r="C26" s="291"/>
      <c r="D26" s="291"/>
      <c r="E26" s="291"/>
      <c r="F26" s="291"/>
      <c r="G26" s="291"/>
      <c r="H26" s="291"/>
      <c r="I26" s="291"/>
      <c r="J26" s="293"/>
    </row>
    <row r="27" spans="2:10" ht="20" customHeight="1">
      <c r="B27" s="8"/>
      <c r="D27" s="8"/>
    </row>
    <row r="28" spans="2:10" ht="14" hidden="1" customHeight="1">
      <c r="D28" s="121"/>
    </row>
    <row r="29" spans="2:10" ht="14" hidden="1" customHeight="1">
      <c r="D29" s="118"/>
      <c r="E29" s="119"/>
      <c r="F29" s="119"/>
      <c r="G29" s="119"/>
    </row>
    <row r="30" spans="2:10" ht="14" hidden="1" customHeight="1">
      <c r="D30" s="121"/>
    </row>
    <row r="31" spans="2:10" ht="14" hidden="1" customHeight="1">
      <c r="D31" s="120"/>
    </row>
    <row r="32" spans="2:10" ht="14" hidden="1" customHeight="1">
      <c r="D32" s="122"/>
      <c r="E32" s="123"/>
      <c r="F32" s="123"/>
      <c r="G32" s="123"/>
    </row>
    <row r="33" spans="4:7" ht="14" hidden="1" customHeight="1">
      <c r="E33" s="124"/>
      <c r="F33" s="124"/>
      <c r="G33" s="124"/>
    </row>
    <row r="35" spans="4:7" ht="14" hidden="1" customHeight="1">
      <c r="E35" s="125"/>
      <c r="F35" s="125"/>
      <c r="G35" s="125"/>
    </row>
    <row r="36" spans="4:7" ht="14" hidden="1" customHeight="1">
      <c r="D36" s="121"/>
    </row>
    <row r="37" spans="4:7" ht="14" hidden="1" customHeight="1">
      <c r="D37" s="118"/>
      <c r="E37" s="119"/>
      <c r="F37" s="119"/>
      <c r="G37" s="119"/>
    </row>
    <row r="38" spans="4:7" ht="14" hidden="1" customHeight="1">
      <c r="D38" s="120"/>
    </row>
    <row r="39" spans="4:7" ht="14" hidden="1" customHeight="1">
      <c r="D39" s="120"/>
    </row>
    <row r="40" spans="4:7" ht="14" hidden="1" customHeight="1">
      <c r="D40" s="120"/>
    </row>
  </sheetData>
  <customSheetViews>
    <customSheetView guid="{2AB498D9-D32A-4EB2-B4F2-37A196616A87}" scale="85" showPageBreaks="1" view="pageLayout" topLeftCell="A7">
      <selection activeCell="A17" sqref="A17"/>
      <pageMargins left="0.7" right="0.7" top="0.75" bottom="0.75" header="0.3" footer="0.3"/>
      <pageSetup paperSize="9" orientation="portrait" horizontalDpi="1200" verticalDpi="1200" r:id="rId1"/>
      <headerFooter>
        <oddHeader>&amp;L&lt;Model Name&gt;&amp;RUTS: Institute For Sustainable Futures</oddHeader>
      </headerFooter>
    </customSheetView>
  </customSheetViews>
  <mergeCells count="12">
    <mergeCell ref="C6:E7"/>
    <mergeCell ref="C3:I4"/>
    <mergeCell ref="H6:H7"/>
    <mergeCell ref="F6:F7"/>
    <mergeCell ref="D11:H11"/>
    <mergeCell ref="D23:H23"/>
    <mergeCell ref="D25:H25"/>
    <mergeCell ref="D13:H13"/>
    <mergeCell ref="D15:H15"/>
    <mergeCell ref="D17:H17"/>
    <mergeCell ref="D19:H19"/>
    <mergeCell ref="D21:H21"/>
  </mergeCells>
  <phoneticPr fontId="33" type="noConversion"/>
  <conditionalFormatting sqref="C10:I10 C11:D11 I11 C12:I12 C13:D13 I13 C14:I14 C15:D15 I15 C16:I16 C17:D17 I17 C18:I18 C19:D19 I19 C20:I20 C21:D21 I21 C22:I22 C23:D23 I23 C24:I24 C25:D25 I25">
    <cfRule type="expression" dxfId="23" priority="2">
      <formula>$B10=FALSE</formula>
    </cfRule>
  </conditionalFormatting>
  <conditionalFormatting sqref="I10:I25">
    <cfRule type="iconSet" priority="3438">
      <iconSet iconSet="3Symbols" showValue="0" reverse="1">
        <cfvo type="percent" val="0"/>
        <cfvo type="percent" val="33"/>
        <cfvo type="percent" val="67"/>
      </iconSet>
    </cfRule>
  </conditionalFormatting>
  <pageMargins left="0.7" right="0.91176470588235292" top="0.75" bottom="0.75" header="0.3" footer="0.3"/>
  <pageSetup paperSize="9" scale="66" orientation="portrait" horizontalDpi="1200" verticalDpi="1200" r:id="rId2"/>
  <headerFooter>
    <oddHeader>&amp;RSummary Report</oddHeader>
    <oddFooter>&amp;RUTS: Institute For Sustainable Futures</oddFooter>
  </headerFooter>
  <ignoredErrors>
    <ignoredError sqref="F12 F14 F16 F20 F22 F24 F18" calculatedColumn="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E00B-8440-49D2-B6B1-F36D3A838A3B}">
  <sheetPr codeName="Sheet4">
    <tabColor theme="8" tint="0.79998168889431442"/>
  </sheetPr>
  <dimension ref="A1:K61"/>
  <sheetViews>
    <sheetView showGridLines="0" showRowColHeaders="0" zoomScale="85" zoomScaleNormal="85" workbookViewId="0"/>
  </sheetViews>
  <sheetFormatPr baseColWidth="10" defaultColWidth="0" defaultRowHeight="14" zeroHeight="1"/>
  <cols>
    <col min="1" max="2" width="3.33203125" style="262" customWidth="1"/>
    <col min="3" max="3" width="55.1640625" customWidth="1"/>
    <col min="4" max="4" width="30.6640625" customWidth="1"/>
    <col min="5" max="5" width="84.6640625" customWidth="1"/>
    <col min="6" max="7" width="3.33203125" style="262" customWidth="1"/>
    <col min="8" max="8" width="8.6640625" hidden="1" customWidth="1"/>
    <col min="9" max="11" width="0" hidden="1" customWidth="1"/>
    <col min="12" max="16384" width="8.6640625" hidden="1"/>
  </cols>
  <sheetData>
    <row r="1" spans="2:6" ht="15" thickBot="1">
      <c r="C1" s="262"/>
      <c r="D1" s="262"/>
      <c r="E1" s="262"/>
    </row>
    <row r="2" spans="2:6">
      <c r="B2" s="263"/>
      <c r="C2" s="264"/>
      <c r="D2" s="265"/>
      <c r="E2" s="264"/>
      <c r="F2" s="266"/>
    </row>
    <row r="3" spans="2:6">
      <c r="B3" s="270"/>
      <c r="C3" s="200"/>
      <c r="D3" s="201"/>
      <c r="E3" s="200"/>
      <c r="F3" s="267"/>
    </row>
    <row r="4" spans="2:6" ht="14" customHeight="1">
      <c r="B4" s="270"/>
      <c r="C4" s="394" t="s">
        <v>250</v>
      </c>
      <c r="D4" s="394"/>
      <c r="E4" s="394"/>
      <c r="F4" s="267"/>
    </row>
    <row r="5" spans="2:6" ht="14" customHeight="1">
      <c r="B5" s="270"/>
      <c r="C5" s="394"/>
      <c r="D5" s="394"/>
      <c r="E5" s="394"/>
      <c r="F5" s="267"/>
    </row>
    <row r="6" spans="2:6" ht="14" customHeight="1">
      <c r="B6" s="270"/>
      <c r="C6" s="394"/>
      <c r="D6" s="394"/>
      <c r="E6" s="394"/>
      <c r="F6" s="267"/>
    </row>
    <row r="7" spans="2:6" ht="14" customHeight="1">
      <c r="B7" s="270"/>
      <c r="C7" s="394"/>
      <c r="D7" s="394"/>
      <c r="E7" s="394"/>
      <c r="F7" s="267"/>
    </row>
    <row r="8" spans="2:6" ht="14" customHeight="1">
      <c r="B8" s="270"/>
      <c r="C8" s="394"/>
      <c r="D8" s="394"/>
      <c r="E8" s="394"/>
      <c r="F8" s="267"/>
    </row>
    <row r="9" spans="2:6" ht="14" customHeight="1">
      <c r="B9" s="270"/>
      <c r="C9" s="394"/>
      <c r="D9" s="394"/>
      <c r="E9" s="394"/>
      <c r="F9" s="267"/>
    </row>
    <row r="10" spans="2:6" ht="14" customHeight="1">
      <c r="B10" s="270"/>
      <c r="C10" s="394"/>
      <c r="D10" s="394"/>
      <c r="E10" s="394"/>
      <c r="F10" s="267"/>
    </row>
    <row r="11" spans="2:6" ht="14" customHeight="1">
      <c r="B11" s="270"/>
      <c r="C11" s="394"/>
      <c r="D11" s="394"/>
      <c r="E11" s="394"/>
      <c r="F11" s="267"/>
    </row>
    <row r="12" spans="2:6" ht="14" customHeight="1">
      <c r="B12" s="270"/>
      <c r="C12" s="394"/>
      <c r="D12" s="394"/>
      <c r="E12" s="394"/>
      <c r="F12" s="267"/>
    </row>
    <row r="13" spans="2:6" ht="14" customHeight="1">
      <c r="B13" s="270"/>
      <c r="C13" s="394"/>
      <c r="D13" s="394"/>
      <c r="E13" s="394"/>
      <c r="F13" s="267"/>
    </row>
    <row r="14" spans="2:6" ht="14" customHeight="1">
      <c r="B14" s="270"/>
      <c r="C14" s="394"/>
      <c r="D14" s="394"/>
      <c r="E14" s="394"/>
      <c r="F14" s="267"/>
    </row>
    <row r="15" spans="2:6">
      <c r="B15" s="270"/>
      <c r="C15" s="393"/>
      <c r="D15" s="393"/>
      <c r="E15" s="393"/>
      <c r="F15" s="267"/>
    </row>
    <row r="16" spans="2:6">
      <c r="B16" s="270"/>
      <c r="C16" s="95"/>
      <c r="D16" s="95"/>
      <c r="E16" s="96"/>
      <c r="F16" s="267"/>
    </row>
    <row r="17" spans="2:6">
      <c r="B17" s="270"/>
      <c r="C17" s="97"/>
      <c r="D17" s="100"/>
      <c r="E17" s="98"/>
      <c r="F17" s="267"/>
    </row>
    <row r="18" spans="2:6" ht="15">
      <c r="B18" s="270"/>
      <c r="C18" s="99" t="s">
        <v>36</v>
      </c>
      <c r="D18" s="99" t="s">
        <v>243</v>
      </c>
      <c r="E18" s="99" t="s">
        <v>210</v>
      </c>
      <c r="F18" s="267"/>
    </row>
    <row r="19" spans="2:6">
      <c r="B19" s="270"/>
      <c r="C19" s="9"/>
      <c r="D19" s="11"/>
      <c r="E19" s="9"/>
      <c r="F19" s="267"/>
    </row>
    <row r="20" spans="2:6" ht="55.25" customHeight="1">
      <c r="B20" s="270"/>
      <c r="C20" s="106" t="str" cm="1">
        <f t="array" ref="C20">IF(ROWS($A$2:A2)&lt;=(COUNTIF(_3HazardShow,TRUE)), INDEX(_3Hazard,_xlfn.AGGREGATE(15,3,(_3HazardShow=TRUE)/(_3HazardShow=TRUE)*ROW(_3Hazard)-ROW($C$20),ROWS($A$2:A2))),"")</f>
        <v>Corrosion</v>
      </c>
      <c r="D20" s="112" t="str" cm="1">
        <f t="array" ref="D20">IF(ROWS($A$2:A2)&lt;=(COUNTIF(_3HazardShow,TRUE)), INDEX(_3HazardRating,_xlfn.AGGREGATE(15,3,(_3HazardShow=TRUE)/(_3HazardShow=TRUE)*ROW(_3Hazard)-ROW($C$20),ROWS($A$2:A2))),"")</f>
        <v>Moderate Impact</v>
      </c>
      <c r="E20" s="282" t="str">
        <f>IF(F20=0,"",F20)</f>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c r="F20" s="268" t="str" cm="1">
        <f t="array" ref="F20">IF(ROWS($A$2:A2)&lt;=(COUNTIF(_3HazardShow,TRUE)), INDEX(_3HazardJustification,_xlfn.AGGREGATE(15,3,(_3HazardShow=TRUE)/(_3HazardShow=TRUE)*ROW(_3Hazard)-ROW($C$20),ROWS($A$2:A2))),"")</f>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row>
    <row r="21" spans="2:6" ht="55.25" customHeight="1">
      <c r="B21" s="270"/>
      <c r="C21" s="106" t="str" cm="1">
        <f t="array" ref="C21">IF(ROWS($A$2:A3)&lt;=(COUNTIF(_3HazardShow,TRUE)), INDEX(_3Hazard,_xlfn.AGGREGATE(15,3,(_3HazardShow=TRUE)/(_3HazardShow=TRUE)*ROW(_3Hazard)-ROW($C$20),ROWS($A$2:A3))),"")</f>
        <v>Erosion</v>
      </c>
      <c r="D21" s="112" t="str" cm="1">
        <f t="array" ref="D21">IF(ROWS($A$2:A3)&lt;=(COUNTIF(_3HazardShow,TRUE)), INDEX(_3HazardRating,_xlfn.AGGREGATE(15,3,(_3HazardShow=TRUE)/(_3HazardShow=TRUE)*ROW(_3Hazard)-ROW($C$20),ROWS($A$2:A3))),"")</f>
        <v>Moderate Impact</v>
      </c>
      <c r="E21" s="282" t="str">
        <f t="shared" ref="E21:E59" si="0">IF(F21=0,"",F21)</f>
        <v>Salt water from coastal flooding could corrode the rebar in the ABR, weakening it over time. Corrosion will be difficult to observe as rebar is not exposed.</v>
      </c>
      <c r="F21" s="268" t="str" cm="1">
        <f t="array" ref="F21">IF(ROWS($A$2:A3)&lt;=(COUNTIF(_3HazardShow,TRUE)), INDEX(_3HazardJustification,_xlfn.AGGREGATE(15,3,(_3HazardShow=TRUE)/(_3HazardShow=TRUE)*ROW(_3Hazard)-ROW($C$20),ROWS($A$2:A3))),"")</f>
        <v>Salt water from coastal flooding could corrode the rebar in the ABR, weakening it over time. Corrosion will be difficult to observe as rebar is not exposed.</v>
      </c>
    </row>
    <row r="22" spans="2:6" ht="55.25" customHeight="1">
      <c r="B22" s="270"/>
      <c r="C22" s="106" t="str" cm="1">
        <f t="array" ref="C22">IF(ROWS($A$2:A4)&lt;=(COUNTIF(_3HazardShow,TRUE)), INDEX(_3Hazard,_xlfn.AGGREGATE(15,3,(_3HazardShow=TRUE)/(_3HazardShow=TRUE)*ROW(_3Hazard)-ROW($C$20),ROWS($A$2:A4))),"")</f>
        <v>Force of flood waters</v>
      </c>
      <c r="D22" s="112" t="str" cm="1">
        <f t="array" ref="D22">IF(ROWS($A$2:A4)&lt;=(COUNTIF(_3HazardShow,TRUE)), INDEX(_3HazardRating,_xlfn.AGGREGATE(15,3,(_3HazardShow=TRUE)/(_3HazardShow=TRUE)*ROW(_3Hazard)-ROW($C$20),ROWS($A$2:A4))),"")</f>
        <v>Moderate Impact</v>
      </c>
      <c r="E22" s="282" t="str">
        <f t="shared" si="0"/>
        <v>The concrete construction (armoring and strengthening) and burying of the ABR, mean force of flood waters will have minimal impact when located away from rivers or coastal areas. If inlet pipes are not secured or buried, they may present a risk of failure. If the system is partially exposed to flood water, such as on the river bank or coastline, flood waters are more of a concern.</v>
      </c>
      <c r="F22" s="268" t="str" cm="1">
        <f t="array" ref="F22">IF(ROWS($A$2:A4)&lt;=(COUNTIF(_3HazardShow,TRUE)), INDEX(_3HazardJustification,_xlfn.AGGREGATE(15,3,(_3HazardShow=TRUE)/(_3HazardShow=TRUE)*ROW(_3Hazard)-ROW($C$20),ROWS($A$2:A4))),"")</f>
        <v>The concrete construction (armoring and strengthening) and burying of the ABR, mean force of flood waters will have minimal impact when located away from rivers or coastal areas. If inlet pipes are not secured or buried, they may present a risk of failure. If the system is partially exposed to flood water, such as on the river bank or coastline, flood waters are more of a concern.</v>
      </c>
    </row>
    <row r="23" spans="2:6" ht="55.25" customHeight="1">
      <c r="B23" s="270"/>
      <c r="C23" s="106" t="str" cm="1">
        <f t="array" ref="C23">IF(ROWS($A$2:A5)&lt;=(COUNTIF(_3HazardShow,TRUE)), INDEX(_3Hazard,_xlfn.AGGREGATE(15,3,(_3HazardShow=TRUE)/(_3HazardShow=TRUE)*ROW(_3Hazard)-ROW($C$20),ROWS($A$2:A5))),"")</f>
        <v>Increased inflow velocity</v>
      </c>
      <c r="D23" s="112" t="str" cm="1">
        <f t="array" ref="D23">IF(ROWS($A$2:A5)&lt;=(COUNTIF(_3HazardShow,TRUE)), INDEX(_3HazardRating,_xlfn.AGGREGATE(15,3,(_3HazardShow=TRUE)/(_3HazardShow=TRUE)*ROW(_3Hazard)-ROW($C$20),ROWS($A$2:A5))),"")</f>
        <v>Moderate Impact</v>
      </c>
      <c r="E23" s="282" t="str">
        <f t="shared" si="0"/>
        <v>If the pressure head for the treatment is high and/or inflow velocity is hight, the residence time in various chambers will be reduced, reducing treatment effectiveness.</v>
      </c>
      <c r="F23" s="268" t="str" cm="1">
        <f t="array" ref="F23">IF(ROWS($A$2:A5)&lt;=(COUNTIF(_3HazardShow,TRUE)), INDEX(_3HazardJustification,_xlfn.AGGREGATE(15,3,(_3HazardShow=TRUE)/(_3HazardShow=TRUE)*ROW(_3Hazard)-ROW($C$20),ROWS($A$2:A5))),"")</f>
        <v>If the pressure head for the treatment is high and/or inflow velocity is hight, the residence time in various chambers will be reduced, reducing treatment effectiveness.</v>
      </c>
    </row>
    <row r="24" spans="2:6" ht="55.25" customHeight="1">
      <c r="B24" s="270"/>
      <c r="C24" s="106" t="str" cm="1">
        <f t="array" ref="C24">IF(ROWS($A$2:A6)&lt;=(COUNTIF(_3HazardShow,TRUE)), INDEX(_3Hazard,_xlfn.AGGREGATE(15,3,(_3HazardShow=TRUE)/(_3HazardShow=TRUE)*ROW(_3Hazard)-ROW($C$20),ROWS($A$2:A6))),"")</f>
        <v>Increased inflow volume</v>
      </c>
      <c r="D24" s="112" t="str" cm="1">
        <f t="array" ref="D24">IF(ROWS($A$2:A6)&lt;=(COUNTIF(_3HazardShow,TRUE)), INDEX(_3HazardRating,_xlfn.AGGREGATE(15,3,(_3HazardShow=TRUE)/(_3HazardShow=TRUE)*ROW(_3Hazard)-ROW($C$20),ROWS($A$2:A6))),"")</f>
        <v>Moderate Impact</v>
      </c>
      <c r="E24" s="282" t="str">
        <f t="shared" si="0"/>
        <v>If the pressure head for the treatment is high and/or inflow velocity is hight, the residence time in various chambers will be reduced, reducing treatment effectiveness.</v>
      </c>
      <c r="F24" s="268" t="str" cm="1">
        <f t="array" ref="F24">IF(ROWS($A$2:A6)&lt;=(COUNTIF(_3HazardShow,TRUE)), INDEX(_3HazardJustification,_xlfn.AGGREGATE(15,3,(_3HazardShow=TRUE)/(_3HazardShow=TRUE)*ROW(_3Hazard)-ROW($C$20),ROWS($A$2:A6))),"")</f>
        <v>If the pressure head for the treatment is high and/or inflow velocity is hight, the residence time in various chambers will be reduced, reducing treatment effectiveness.</v>
      </c>
    </row>
    <row r="25" spans="2:6" ht="55.25" customHeight="1">
      <c r="B25" s="270"/>
      <c r="C25" s="106" t="str" cm="1">
        <f t="array" ref="C25">IF(ROWS($A$2:A7)&lt;=(COUNTIF(_3HazardShow,TRUE)), INDEX(_3Hazard,_xlfn.AGGREGATE(15,3,(_3HazardShow=TRUE)/(_3HazardShow=TRUE)*ROW(_3Hazard)-ROW($C$20),ROWS($A$2:A7))),"")</f>
        <v>Increased levels of receiving waterways</v>
      </c>
      <c r="D25" s="112" t="str" cm="1">
        <f t="array" ref="D25">IF(ROWS($A$2:A7)&lt;=(COUNTIF(_3HazardShow,TRUE)), INDEX(_3HazardRating,_xlfn.AGGREGATE(15,3,(_3HazardShow=TRUE)/(_3HazardShow=TRUE)*ROW(_3Hazard)-ROW($C$20),ROWS($A$2:A7))),"")</f>
        <v>Moderate Impact</v>
      </c>
      <c r="E25" s="282" t="str">
        <f t="shared" si="0"/>
        <v xml:space="preserve">Backflow or restricted discharge due to raised receiving water levels could reduce residence time and function of the ABR = low impact. Extended periods and flat terrain could cause backflow to the toilet = medium impact.  Overall in Banjarmasin this is medium impact as it is quite likely and very flat. </v>
      </c>
      <c r="F25" s="268" t="str" cm="1">
        <f t="array" ref="F25">IF(ROWS($A$2:A7)&lt;=(COUNTIF(_3HazardShow,TRUE)), INDEX(_3HazardJustification,_xlfn.AGGREGATE(15,3,(_3HazardShow=TRUE)/(_3HazardShow=TRUE)*ROW(_3Hazard)-ROW($C$20),ROWS($A$2:A7))),"")</f>
        <v xml:space="preserve">Backflow or restricted discharge due to raised receiving water levels could reduce residence time and function of the ABR = low impact. Extended periods and flat terrain could cause backflow to the toilet = medium impact.  Overall in Banjarmasin this is medium impact as it is quite likely and very flat. </v>
      </c>
    </row>
    <row r="26" spans="2:6" ht="55.25" customHeight="1">
      <c r="B26" s="270"/>
      <c r="C26" s="106" t="str" cm="1">
        <f t="array" ref="C26">IF(ROWS($A$2:A8)&lt;=(COUNTIF(_3HazardShow,TRUE)), INDEX(_3Hazard,_xlfn.AGGREGATE(15,3,(_3HazardShow=TRUE)/(_3HazardShow=TRUE)*ROW(_3Hazard)-ROW($C$20),ROWS($A$2:A8))),"")</f>
        <v>Reduced inflow volume</v>
      </c>
      <c r="D26" s="112" t="str" cm="1">
        <f t="array" ref="D26">IF(ROWS($A$2:A8)&lt;=(COUNTIF(_3HazardShow,TRUE)), INDEX(_3HazardRating,_xlfn.AGGREGATE(15,3,(_3HazardShow=TRUE)/(_3HazardShow=TRUE)*ROW(_3Hazard)-ROW($C$20),ROWS($A$2:A8))),"")</f>
        <v>Moderate Impact</v>
      </c>
      <c r="E26" s="282" t="str">
        <f t="shared" si="0"/>
        <v>Reduced water inflow volumes may mean an increase in pathogen concentration in the chambers (less diultion). It's likely the ABR can buffer and reductions in flow volume and increase in pathogen concentration through a longer treatment time because of the reduced flows. Water is required to move waste from toilets to ABR to be treated, so as long as water volume is not below these required levels, impacts will be lower.</v>
      </c>
      <c r="F26" s="268" t="str" cm="1">
        <f t="array" ref="F26">IF(ROWS($A$2:A8)&lt;=(COUNTIF(_3HazardShow,TRUE)), INDEX(_3HazardJustification,_xlfn.AGGREGATE(15,3,(_3HazardShow=TRUE)/(_3HazardShow=TRUE)*ROW(_3Hazard)-ROW($C$20),ROWS($A$2:A8))),"")</f>
        <v>Reduced water inflow volumes may mean an increase in pathogen concentration in the chambers (less diultion). It's likely the ABR can buffer and reductions in flow volume and increase in pathogen concentration through a longer treatment time because of the reduced flows. Water is required to move waste from toilets to ABR to be treated, so as long as water volume is not below these required levels, impacts will be lower.</v>
      </c>
    </row>
    <row r="27" spans="2:6" ht="55.25" customHeight="1">
      <c r="B27" s="270"/>
      <c r="C27" s="106" t="str" cm="1">
        <f t="array" ref="C27">IF(ROWS($A$2:A9)&lt;=(COUNTIF(_3HazardShow,TRUE)), INDEX(_3Hazard,_xlfn.AGGREGATE(15,3,(_3HazardShow=TRUE)/(_3HazardShow=TRUE)*ROW(_3Hazard)-ROW($C$20),ROWS($A$2:A9))),"")</f>
        <v xml:space="preserve">Rise in groundwater level and/or groundwater saturation </v>
      </c>
      <c r="D27" s="112" t="str" cm="1">
        <f t="array" ref="D27">IF(ROWS($A$2:A9)&lt;=(COUNTIF(_3HazardShow,TRUE)), INDEX(_3HazardRating,_xlfn.AGGREGATE(15,3,(_3HazardShow=TRUE)/(_3HazardShow=TRUE)*ROW(_3Hazard)-ROW($C$20),ROWS($A$2:A9))),"")</f>
        <v>Moderate Impact</v>
      </c>
      <c r="E27" s="282" t="str">
        <f t="shared" si="0"/>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c r="F27" s="268" t="str" cm="1">
        <f t="array" ref="F27">IF(ROWS($A$2:A9)&lt;=(COUNTIF(_3HazardShow,TRUE)), INDEX(_3HazardJustification,_xlfn.AGGREGATE(15,3,(_3HazardShow=TRUE)/(_3HazardShow=TRUE)*ROW(_3Hazard)-ROW($C$20),ROWS($A$2:A9))),"")</f>
        <v>The ABR is deployed in an area of high groundwater and is/will be subject, flooding, high rainfall and coastal inundation. The concrete construction (armouring and strengthening) likely provides some mitigation to buoyancy forces. However, because it is buried and the nature of the hazard/CIDs there is still potential for moderate impact.</v>
      </c>
    </row>
    <row r="28" spans="2:6" ht="55.25" customHeight="1">
      <c r="B28" s="270"/>
      <c r="C28" s="106" t="str" cm="1">
        <f t="array" ref="C28">IF(ROWS($A$2:A10)&lt;=(COUNTIF(_3HazardShow,TRUE)), INDEX(_3Hazard,_xlfn.AGGREGATE(15,3,(_3HazardShow=TRUE)/(_3HazardShow=TRUE)*ROW(_3Hazard)-ROW($C$20),ROWS($A$2:A10))),"")</f>
        <v>Water ingress / inundation</v>
      </c>
      <c r="D28" s="112" t="str" cm="1">
        <f t="array" ref="D28">IF(ROWS($A$2:A10)&lt;=(COUNTIF(_3HazardShow,TRUE)), INDEX(_3HazardRating,_xlfn.AGGREGATE(15,3,(_3HazardShow=TRUE)/(_3HazardShow=TRUE)*ROW(_3Hazard)-ROW($C$20),ROWS($A$2:A10))),"")</f>
        <v>High Impact</v>
      </c>
      <c r="E28" s="282" t="str">
        <f t="shared" si="0"/>
        <v>If the pressure head for the treatment is high and/or inflow velocity is high, the residence time in various chambers will be reduced, reducing treatment effectiveness.</v>
      </c>
      <c r="F28" s="268" t="str" cm="1">
        <f t="array" ref="F28">IF(ROWS($A$2:A10)&lt;=(COUNTIF(_3HazardShow,TRUE)), INDEX(_3HazardJustification,_xlfn.AGGREGATE(15,3,(_3HazardShow=TRUE)/(_3HazardShow=TRUE)*ROW(_3Hazard)-ROW($C$20),ROWS($A$2:A10))),"")</f>
        <v>If the pressure head for the treatment is high and/or inflow velocity is high, the residence time in various chambers will be reduced, reducing treatment effectiveness.</v>
      </c>
    </row>
    <row r="29" spans="2:6" ht="55.25" customHeight="1">
      <c r="B29" s="270"/>
      <c r="C29" s="106" t="str" cm="1">
        <f t="array" ref="C29">IF(ROWS($A$2:A11)&lt;=(COUNTIF(_3HazardShow,TRUE)), INDEX(_3Hazard,_xlfn.AGGREGATE(15,3,(_3HazardShow=TRUE)/(_3HazardShow=TRUE)*ROW(_3Hazard)-ROW($C$20),ROWS($A$2:A11))),"")</f>
        <v>Biological organisms exposed to saltwater</v>
      </c>
      <c r="D29" s="112" t="str" cm="1">
        <f t="array" ref="D29">IF(ROWS($A$2:A11)&lt;=(COUNTIF(_3HazardShow,TRUE)), INDEX(_3HazardRating,_xlfn.AGGREGATE(15,3,(_3HazardShow=TRUE)/(_3HazardShow=TRUE)*ROW(_3Hazard)-ROW($C$20),ROWS($A$2:A11))),"")</f>
        <v>Moderate Impact</v>
      </c>
      <c r="E29" s="282" t="str">
        <f t="shared" si="0"/>
        <v>Would have less BOD removal and less pathogen removal, but the ABR would still function in terms of physical flow</v>
      </c>
      <c r="F29" s="268" t="str" cm="1">
        <f t="array" ref="F29">IF(ROWS($A$2:A11)&lt;=(COUNTIF(_3HazardShow,TRUE)), INDEX(_3HazardJustification,_xlfn.AGGREGATE(15,3,(_3HazardShow=TRUE)/(_3HazardShow=TRUE)*ROW(_3Hazard)-ROW($C$20),ROWS($A$2:A11))),"")</f>
        <v>Would have less BOD removal and less pathogen removal, but the ABR would still function in terms of physical flow</v>
      </c>
    </row>
    <row r="30" spans="2:6" ht="55.25" customHeight="1">
      <c r="B30" s="270"/>
      <c r="C30" s="106" t="str" cm="1">
        <f t="array" ref="C30">IF(ROWS($A$2:A12)&lt;=(COUNTIF(_3HazardShow,TRUE)), INDEX(_3Hazard,_xlfn.AGGREGATE(15,3,(_3HazardShow=TRUE)/(_3HazardShow=TRUE)*ROW(_3Hazard)-ROW($C$20),ROWS($A$2:A12))),"")</f>
        <v>Changes in pathogen concentration in inflow</v>
      </c>
      <c r="D30" s="112" t="str" cm="1">
        <f t="array" ref="D30">IF(ROWS($A$2:A12)&lt;=(COUNTIF(_3HazardShow,TRUE)), INDEX(_3HazardRating,_xlfn.AGGREGATE(15,3,(_3HazardShow=TRUE)/(_3HazardShow=TRUE)*ROW(_3Hazard)-ROW($C$20),ROWS($A$2:A12))),"")</f>
        <v>Moderate Impact</v>
      </c>
      <c r="E30" s="282" t="str">
        <f t="shared" si="0"/>
        <v>The ABR would be able to reduce pathogens, but if the concentration became very high or if there were a cholera outbreak, the effluent may be poor quality</v>
      </c>
      <c r="F30" s="268" t="str" cm="1">
        <f t="array" ref="F30">IF(ROWS($A$2:A12)&lt;=(COUNTIF(_3HazardShow,TRUE)), INDEX(_3HazardJustification,_xlfn.AGGREGATE(15,3,(_3HazardShow=TRUE)/(_3HazardShow=TRUE)*ROW(_3Hazard)-ROW($C$20),ROWS($A$2:A12))),"")</f>
        <v>The ABR would be able to reduce pathogens, but if the concentration became very high or if there were a cholera outbreak, the effluent may be poor quality</v>
      </c>
    </row>
    <row r="31" spans="2:6" ht="55.25" customHeight="1">
      <c r="B31" s="270"/>
      <c r="C31" s="106" t="str" cm="1">
        <f t="array" ref="C31">IF(ROWS($A$2:A13)&lt;=(COUNTIF(_3HazardShow,TRUE)), INDEX(_3Hazard,_xlfn.AGGREGATE(15,3,(_3HazardShow=TRUE)/(_3HazardShow=TRUE)*ROW(_3Hazard)-ROW($C$20),ROWS($A$2:A13))),"")</f>
        <v>Reduced dilution capacity of receiving waters</v>
      </c>
      <c r="D31" s="112" t="str" cm="1">
        <f t="array" ref="D31">IF(ROWS($A$2:A13)&lt;=(COUNTIF(_3HazardShow,TRUE)), INDEX(_3HazardRating,_xlfn.AGGREGATE(15,3,(_3HazardShow=TRUE)/(_3HazardShow=TRUE)*ROW(_3Hazard)-ROW($C$20),ROWS($A$2:A13))),"")</f>
        <v>Moderate Impact</v>
      </c>
      <c r="E31" s="282" t="str">
        <f t="shared" si="0"/>
        <v>Given the system discharges to the waterway and no soak pit (from the scoping tab) the discuarge of this effluent to stressed waterways may become forbidden. Heat stress causing low river flow also increases impact of effluent compared with high flow periods</v>
      </c>
      <c r="F31" s="268" t="str" cm="1">
        <f t="array" ref="F31">IF(ROWS($A$2:A13)&lt;=(COUNTIF(_3HazardShow,TRUE)), INDEX(_3HazardJustification,_xlfn.AGGREGATE(15,3,(_3HazardShow=TRUE)/(_3HazardShow=TRUE)*ROW(_3Hazard)-ROW($C$20),ROWS($A$2:A13))),"")</f>
        <v>Given the system discharges to the waterway and no soak pit (from the scoping tab) the discuarge of this effluent to stressed waterways may become forbidden. Heat stress causing low river flow also increases impact of effluent compared with high flow periods</v>
      </c>
    </row>
    <row r="32" spans="2:6" ht="55.25" customHeight="1">
      <c r="B32" s="270"/>
      <c r="C32" s="106" t="str" cm="1">
        <f t="array" ref="C32">IF(ROWS($A$2:A14)&lt;=(COUNTIF(_3HazardShow,TRUE)), INDEX(_3Hazard,_xlfn.AGGREGATE(15,3,(_3HazardShow=TRUE)/(_3HazardShow=TRUE)*ROW(_3Hazard)-ROW($C$20),ROWS($A$2:A14))),"")</f>
        <v>Disrupted access to sanitation technology for O&amp;M</v>
      </c>
      <c r="D32" s="112" t="str" cm="1">
        <f t="array" ref="D32">IF(ROWS($A$2:A14)&lt;=(COUNTIF(_3HazardShow,TRUE)), INDEX(_3HazardRating,_xlfn.AGGREGATE(15,3,(_3HazardShow=TRUE)/(_3HazardShow=TRUE)*ROW(_3Hazard)-ROW($C$20),ROWS($A$2:A14))),"")</f>
        <v>Moderate Impact</v>
      </c>
      <c r="E32" s="282" t="str">
        <f t="shared" si="0"/>
        <v>If maintenance is needed, such as removing a blockage, the technology would fail without the maintenance people being able to access the technology. As sludge removal is irregular, this is unlikely to be an issue except in a severe incident where emergency maintenance was needed.</v>
      </c>
      <c r="F32" s="268" t="str" cm="1">
        <f t="array" ref="F32">IF(ROWS($A$2:A14)&lt;=(COUNTIF(_3HazardShow,TRUE)), INDEX(_3HazardJustification,_xlfn.AGGREGATE(15,3,(_3HazardShow=TRUE)/(_3HazardShow=TRUE)*ROW(_3Hazard)-ROW($C$20),ROWS($A$2:A14))),"")</f>
        <v>If maintenance is needed, such as removing a blockage, the technology would fail without the maintenance people being able to access the technology. As sludge removal is irregular, this is unlikely to be an issue except in a severe incident where emergency maintenance was needed.</v>
      </c>
    </row>
    <row r="33" spans="2:6" ht="55.25" customHeight="1">
      <c r="B33" s="270"/>
      <c r="C33" s="106" t="str" cm="1">
        <f t="array" ref="C33">IF(ROWS($A$2:A15)&lt;=(COUNTIF(_3HazardShow,TRUE)), INDEX(_3Hazard,_xlfn.AGGREGATE(15,3,(_3HazardShow=TRUE)/(_3HazardShow=TRUE)*ROW(_3Hazard)-ROW($C$20),ROWS($A$2:A15))),"")</f>
        <v>Disrupted access to the sanitation technology for major repairs</v>
      </c>
      <c r="D33" s="112" t="str" cm="1">
        <f t="array" ref="D33">IF(ROWS($A$2:A15)&lt;=(COUNTIF(_3HazardShow,TRUE)), INDEX(_3HazardRating,_xlfn.AGGREGATE(15,3,(_3HazardShow=TRUE)/(_3HazardShow=TRUE)*ROW(_3Hazard)-ROW($C$20),ROWS($A$2:A15))),"")</f>
        <v>High Impact</v>
      </c>
      <c r="E33" s="282" t="str">
        <f t="shared" si="0"/>
        <v>If a blockage causes the ABR to be unable to receive new waste, the technology would not be able to be used at all until it can be access for maintenance</v>
      </c>
      <c r="F33" s="268" t="str" cm="1">
        <f t="array" ref="F33">IF(ROWS($A$2:A15)&lt;=(COUNTIF(_3HazardShow,TRUE)), INDEX(_3HazardJustification,_xlfn.AGGREGATE(15,3,(_3HazardShow=TRUE)/(_3HazardShow=TRUE)*ROW(_3Hazard)-ROW($C$20),ROWS($A$2:A15))),"")</f>
        <v>If a blockage causes the ABR to be unable to receive new waste, the technology would not be able to be used at all until it can be access for maintenance</v>
      </c>
    </row>
    <row r="34" spans="2:6" ht="55.25" customHeight="1">
      <c r="B34" s="270"/>
      <c r="C34" s="106" t="str" cm="1">
        <f t="array" ref="C34">IF(ROWS($A$2:A16)&lt;=(COUNTIF(_3HazardShow,TRUE)), INDEX(_3Hazard,_xlfn.AGGREGATE(15,3,(_3HazardShow=TRUE)/(_3HazardShow=TRUE)*ROW(_3Hazard)-ROW($C$20),ROWS($A$2:A16))),"")</f>
        <v>Disrupted faecal sludge emptying services</v>
      </c>
      <c r="D34" s="112" t="str" cm="1">
        <f t="array" ref="D34">IF(ROWS($A$2:A16)&lt;=(COUNTIF(_3HazardShow,TRUE)), INDEX(_3HazardRating,_xlfn.AGGREGATE(15,3,(_3HazardShow=TRUE)/(_3HazardShow=TRUE)*ROW(_3Hazard)-ROW($C$20),ROWS($A$2:A16))),"")</f>
        <v>Moderate Impact</v>
      </c>
      <c r="E34" s="282" t="str">
        <f t="shared" si="0"/>
        <v>Depending how badly the ABR needs desludging, performance could be degraded to different levels</v>
      </c>
      <c r="F34" s="268" t="str" cm="1">
        <f t="array" ref="F34">IF(ROWS($A$2:A16)&lt;=(COUNTIF(_3HazardShow,TRUE)), INDEX(_3HazardJustification,_xlfn.AGGREGATE(15,3,(_3HazardShow=TRUE)/(_3HazardShow=TRUE)*ROW(_3Hazard)-ROW($C$20),ROWS($A$2:A16))),"")</f>
        <v>Depending how badly the ABR needs desludging, performance could be degraded to different levels</v>
      </c>
    </row>
    <row r="35" spans="2:6" ht="55.25" customHeight="1">
      <c r="B35" s="270"/>
      <c r="C35" s="106" t="str" cm="1">
        <f t="array" ref="C35">IF(ROWS($A$2:A17)&lt;=(COUNTIF(_3HazardShow,TRUE)), INDEX(_3Hazard,_xlfn.AGGREGATE(15,3,(_3HazardShow=TRUE)/(_3HazardShow=TRUE)*ROW(_3Hazard)-ROW($C$20),ROWS($A$2:A17))),"")</f>
        <v>Disrupted water inputs to the sanitation technology</v>
      </c>
      <c r="D35" s="112" t="str" cm="1">
        <f t="array" ref="D35">IF(ROWS($A$2:A17)&lt;=(COUNTIF(_3HazardShow,TRUE)), INDEX(_3HazardRating,_xlfn.AGGREGATE(15,3,(_3HazardShow=TRUE)/(_3HazardShow=TRUE)*ROW(_3Hazard)-ROW($C$20),ROWS($A$2:A17))),"")</f>
        <v>High Impact</v>
      </c>
      <c r="E35" s="282" t="str">
        <f t="shared" si="0"/>
        <v>Faecal waste cannot be moved from the toilet to the ABR without water</v>
      </c>
      <c r="F35" s="268" t="str" cm="1">
        <f t="array" ref="F35">IF(ROWS($A$2:A17)&lt;=(COUNTIF(_3HazardShow,TRUE)), INDEX(_3HazardJustification,_xlfn.AGGREGATE(15,3,(_3HazardShow=TRUE)/(_3HazardShow=TRUE)*ROW(_3Hazard)-ROW($C$20),ROWS($A$2:A17))),"")</f>
        <v>Faecal waste cannot be moved from the toilet to the ABR without water</v>
      </c>
    </row>
    <row r="36" spans="2:6" ht="55.25" customHeight="1">
      <c r="B36" s="270"/>
      <c r="C36" s="106" t="str" cm="1">
        <f t="array" ref="C36">IF(ROWS($A$2:A18)&lt;=(COUNTIF(_3HazardShow,TRUE)), INDEX(_3Hazard,_xlfn.AGGREGATE(15,3,(_3HazardShow=TRUE)/(_3HazardShow=TRUE)*ROW(_3Hazard)-ROW($C$20),ROWS($A$2:A18))),"")</f>
        <v/>
      </c>
      <c r="D36" s="112" t="str" cm="1">
        <f t="array" ref="D36">IF(ROWS($A$2:A18)&lt;=(COUNTIF(_3HazardShow,TRUE)), INDEX(_3HazardRating,_xlfn.AGGREGATE(15,3,(_3HazardShow=TRUE)/(_3HazardShow=TRUE)*ROW(_3Hazard)-ROW($C$20),ROWS($A$2:A18))),"")</f>
        <v/>
      </c>
      <c r="E36" s="282" t="str">
        <f t="shared" si="0"/>
        <v/>
      </c>
      <c r="F36" s="268" t="str" cm="1">
        <f t="array" ref="F36">IF(ROWS($A$2:A18)&lt;=(COUNTIF(_3HazardShow,TRUE)), INDEX(_3HazardJustification,_xlfn.AGGREGATE(15,3,(_3HazardShow=TRUE)/(_3HazardShow=TRUE)*ROW(_3Hazard)-ROW($C$20),ROWS($A$2:A18))),"")</f>
        <v/>
      </c>
    </row>
    <row r="37" spans="2:6" ht="55.25" customHeight="1">
      <c r="B37" s="270"/>
      <c r="C37" s="106" t="str" cm="1">
        <f t="array" ref="C37">IF(ROWS($A$2:A19)&lt;=(COUNTIF(_3HazardShow,TRUE)), INDEX(_3Hazard,_xlfn.AGGREGATE(15,3,(_3HazardShow=TRUE)/(_3HazardShow=TRUE)*ROW(_3Hazard)-ROW($C$20),ROWS($A$2:A19))),"")</f>
        <v/>
      </c>
      <c r="D37" s="112" t="str" cm="1">
        <f t="array" ref="D37">IF(ROWS($A$2:A19)&lt;=(COUNTIF(_3HazardShow,TRUE)), INDEX(_3HazardRating,_xlfn.AGGREGATE(15,3,(_3HazardShow=TRUE)/(_3HazardShow=TRUE)*ROW(_3Hazard)-ROW($C$20),ROWS($A$2:A19))),"")</f>
        <v/>
      </c>
      <c r="E37" s="282" t="str">
        <f t="shared" si="0"/>
        <v/>
      </c>
      <c r="F37" s="268" t="str" cm="1">
        <f t="array" ref="F37">IF(ROWS($A$2:A19)&lt;=(COUNTIF(_3HazardShow,TRUE)), INDEX(_3HazardJustification,_xlfn.AGGREGATE(15,3,(_3HazardShow=TRUE)/(_3HazardShow=TRUE)*ROW(_3Hazard)-ROW($C$20),ROWS($A$2:A19))),"")</f>
        <v/>
      </c>
    </row>
    <row r="38" spans="2:6" ht="55.25" customHeight="1">
      <c r="B38" s="270"/>
      <c r="C38" s="106" t="str" cm="1">
        <f t="array" ref="C38">IF(ROWS($A$2:A20)&lt;=(COUNTIF(_3HazardShow,TRUE)), INDEX(_3Hazard,_xlfn.AGGREGATE(15,3,(_3HazardShow=TRUE)/(_3HazardShow=TRUE)*ROW(_3Hazard)-ROW($C$20),ROWS($A$2:A20))),"")</f>
        <v/>
      </c>
      <c r="D38" s="112" t="str" cm="1">
        <f t="array" ref="D38">IF(ROWS($A$2:A20)&lt;=(COUNTIF(_3HazardShow,TRUE)), INDEX(_3HazardRating,_xlfn.AGGREGATE(15,3,(_3HazardShow=TRUE)/(_3HazardShow=TRUE)*ROW(_3Hazard)-ROW($C$20),ROWS($A$2:A20))),"")</f>
        <v/>
      </c>
      <c r="E38" s="282" t="str">
        <f t="shared" si="0"/>
        <v/>
      </c>
      <c r="F38" s="268" t="str" cm="1">
        <f t="array" ref="F38">IF(ROWS($A$2:A20)&lt;=(COUNTIF(_3HazardShow,TRUE)), INDEX(_3HazardJustification,_xlfn.AGGREGATE(15,3,(_3HazardShow=TRUE)/(_3HazardShow=TRUE)*ROW(_3Hazard)-ROW($C$20),ROWS($A$2:A20))),"")</f>
        <v/>
      </c>
    </row>
    <row r="39" spans="2:6" ht="55.25" customHeight="1">
      <c r="B39" s="270"/>
      <c r="C39" s="106" t="str" cm="1">
        <f t="array" ref="C39">IF(ROWS($A$2:A21)&lt;=(COUNTIF(_3HazardShow,TRUE)), INDEX(_3Hazard,_xlfn.AGGREGATE(15,3,(_3HazardShow=TRUE)/(_3HazardShow=TRUE)*ROW(_3Hazard)-ROW($C$20),ROWS($A$2:A21))),"")</f>
        <v/>
      </c>
      <c r="D39" s="112" t="str" cm="1">
        <f t="array" ref="D39">IF(ROWS($A$2:A21)&lt;=(COUNTIF(_3HazardShow,TRUE)), INDEX(_3HazardRating,_xlfn.AGGREGATE(15,3,(_3HazardShow=TRUE)/(_3HazardShow=TRUE)*ROW(_3Hazard)-ROW($C$20),ROWS($A$2:A21))),"")</f>
        <v/>
      </c>
      <c r="E39" s="282" t="str">
        <f t="shared" si="0"/>
        <v/>
      </c>
      <c r="F39" s="268" t="str" cm="1">
        <f t="array" ref="F39">IF(ROWS($A$2:A21)&lt;=(COUNTIF(_3HazardShow,TRUE)), INDEX(_3HazardJustification,_xlfn.AGGREGATE(15,3,(_3HazardShow=TRUE)/(_3HazardShow=TRUE)*ROW(_3Hazard)-ROW($C$20),ROWS($A$2:A21))),"")</f>
        <v/>
      </c>
    </row>
    <row r="40" spans="2:6" ht="55.25" customHeight="1">
      <c r="B40" s="270"/>
      <c r="C40" s="106" t="str" cm="1">
        <f t="array" ref="C40">IF(ROWS($A$2:A22)&lt;=(COUNTIF(_3HazardShow,TRUE)), INDEX(_3Hazard,_xlfn.AGGREGATE(15,3,(_3HazardShow=TRUE)/(_3HazardShow=TRUE)*ROW(_3Hazard)-ROW($C$20),ROWS($A$2:A22))),"")</f>
        <v/>
      </c>
      <c r="D40" s="112" t="str" cm="1">
        <f t="array" ref="D40">IF(ROWS($A$2:A22)&lt;=(COUNTIF(_3HazardShow,TRUE)), INDEX(_3HazardRating,_xlfn.AGGREGATE(15,3,(_3HazardShow=TRUE)/(_3HazardShow=TRUE)*ROW(_3Hazard)-ROW($C$20),ROWS($A$2:A22))),"")</f>
        <v/>
      </c>
      <c r="E40" s="282" t="str">
        <f t="shared" si="0"/>
        <v/>
      </c>
      <c r="F40" s="268" t="str" cm="1">
        <f t="array" ref="F40">IF(ROWS($A$2:A22)&lt;=(COUNTIF(_3HazardShow,TRUE)), INDEX(_3HazardJustification,_xlfn.AGGREGATE(15,3,(_3HazardShow=TRUE)/(_3HazardShow=TRUE)*ROW(_3Hazard)-ROW($C$20),ROWS($A$2:A22))),"")</f>
        <v/>
      </c>
    </row>
    <row r="41" spans="2:6" ht="55.25" customHeight="1">
      <c r="B41" s="270"/>
      <c r="C41" s="106" t="str" cm="1">
        <f t="array" ref="C41">IF(ROWS($A$2:A23)&lt;=(COUNTIF(_3HazardShow,TRUE)), INDEX(_3Hazard,_xlfn.AGGREGATE(15,3,(_3HazardShow=TRUE)/(_3HazardShow=TRUE)*ROW(_3Hazard)-ROW($C$20),ROWS($A$2:A23))),"")</f>
        <v/>
      </c>
      <c r="D41" s="112" t="str" cm="1">
        <f t="array" ref="D41">IF(ROWS($A$2:A23)&lt;=(COUNTIF(_3HazardShow,TRUE)), INDEX(_3HazardRating,_xlfn.AGGREGATE(15,3,(_3HazardShow=TRUE)/(_3HazardShow=TRUE)*ROW(_3Hazard)-ROW($C$20),ROWS($A$2:A23))),"")</f>
        <v/>
      </c>
      <c r="E41" s="282" t="str">
        <f t="shared" si="0"/>
        <v/>
      </c>
      <c r="F41" s="268" t="str" cm="1">
        <f t="array" ref="F41">IF(ROWS($A$2:A23)&lt;=(COUNTIF(_3HazardShow,TRUE)), INDEX(_3HazardJustification,_xlfn.AGGREGATE(15,3,(_3HazardShow=TRUE)/(_3HazardShow=TRUE)*ROW(_3Hazard)-ROW($C$20),ROWS($A$2:A23))),"")</f>
        <v/>
      </c>
    </row>
    <row r="42" spans="2:6" ht="55.25" customHeight="1">
      <c r="B42" s="270"/>
      <c r="C42" s="106" t="str" cm="1">
        <f t="array" ref="C42">IF(ROWS($A$2:A24)&lt;=(COUNTIF(_3HazardShow,TRUE)), INDEX(_3Hazard,_xlfn.AGGREGATE(15,3,(_3HazardShow=TRUE)/(_3HazardShow=TRUE)*ROW(_3Hazard)-ROW($C$20),ROWS($A$2:A24))),"")</f>
        <v/>
      </c>
      <c r="D42" s="112" t="str" cm="1">
        <f t="array" ref="D42">IF(ROWS($A$2:A24)&lt;=(COUNTIF(_3HazardShow,TRUE)), INDEX(_3HazardRating,_xlfn.AGGREGATE(15,3,(_3HazardShow=TRUE)/(_3HazardShow=TRUE)*ROW(_3Hazard)-ROW($C$20),ROWS($A$2:A24))),"")</f>
        <v/>
      </c>
      <c r="E42" s="282" t="str">
        <f t="shared" si="0"/>
        <v/>
      </c>
      <c r="F42" s="268" t="str" cm="1">
        <f t="array" ref="F42">IF(ROWS($A$2:A24)&lt;=(COUNTIF(_3HazardShow,TRUE)), INDEX(_3HazardJustification,_xlfn.AGGREGATE(15,3,(_3HazardShow=TRUE)/(_3HazardShow=TRUE)*ROW(_3Hazard)-ROW($C$20),ROWS($A$2:A24))),"")</f>
        <v/>
      </c>
    </row>
    <row r="43" spans="2:6" ht="55.25" customHeight="1">
      <c r="B43" s="270"/>
      <c r="C43" s="106" t="str" cm="1">
        <f t="array" ref="C43">IF(ROWS($A$2:A25)&lt;=(COUNTIF(_3HazardShow,TRUE)), INDEX(_3Hazard,_xlfn.AGGREGATE(15,3,(_3HazardShow=TRUE)/(_3HazardShow=TRUE)*ROW(_3Hazard)-ROW($C$20),ROWS($A$2:A25))),"")</f>
        <v/>
      </c>
      <c r="D43" s="112" t="str" cm="1">
        <f t="array" ref="D43">IF(ROWS($A$2:A25)&lt;=(COUNTIF(_3HazardShow,TRUE)), INDEX(_3HazardRating,_xlfn.AGGREGATE(15,3,(_3HazardShow=TRUE)/(_3HazardShow=TRUE)*ROW(_3Hazard)-ROW($C$20),ROWS($A$2:A25))),"")</f>
        <v/>
      </c>
      <c r="E43" s="282" t="str">
        <f t="shared" si="0"/>
        <v/>
      </c>
      <c r="F43" s="268" t="str" cm="1">
        <f t="array" ref="F43">IF(ROWS($A$2:A25)&lt;=(COUNTIF(_3HazardShow,TRUE)), INDEX(_3HazardJustification,_xlfn.AGGREGATE(15,3,(_3HazardShow=TRUE)/(_3HazardShow=TRUE)*ROW(_3Hazard)-ROW($C$20),ROWS($A$2:A25))),"")</f>
        <v/>
      </c>
    </row>
    <row r="44" spans="2:6" ht="55.25" customHeight="1">
      <c r="B44" s="270"/>
      <c r="C44" s="106" t="str" cm="1">
        <f t="array" ref="C44">IF(ROWS($A$2:A26)&lt;=(COUNTIF(_3HazardShow,TRUE)), INDEX(_3Hazard,_xlfn.AGGREGATE(15,3,(_3HazardShow=TRUE)/(_3HazardShow=TRUE)*ROW(_3Hazard)-ROW($C$20),ROWS($A$2:A26))),"")</f>
        <v/>
      </c>
      <c r="D44" s="112" t="str" cm="1">
        <f t="array" ref="D44">IF(ROWS($A$2:A26)&lt;=(COUNTIF(_3HazardShow,TRUE)), INDEX(_3HazardRating,_xlfn.AGGREGATE(15,3,(_3HazardShow=TRUE)/(_3HazardShow=TRUE)*ROW(_3Hazard)-ROW($C$20),ROWS($A$2:A26))),"")</f>
        <v/>
      </c>
      <c r="E44" s="282" t="str">
        <f t="shared" si="0"/>
        <v/>
      </c>
      <c r="F44" s="268" t="str" cm="1">
        <f t="array" ref="F44">IF(ROWS($A$2:A26)&lt;=(COUNTIF(_3HazardShow,TRUE)), INDEX(_3HazardJustification,_xlfn.AGGREGATE(15,3,(_3HazardShow=TRUE)/(_3HazardShow=TRUE)*ROW(_3Hazard)-ROW($C$20),ROWS($A$2:A26))),"")</f>
        <v/>
      </c>
    </row>
    <row r="45" spans="2:6" ht="55.25" customHeight="1">
      <c r="B45" s="270"/>
      <c r="C45" s="106" t="str" cm="1">
        <f t="array" ref="C45">IF(ROWS($A$2:A27)&lt;=(COUNTIF(_3HazardShow,TRUE)), INDEX(_3Hazard,_xlfn.AGGREGATE(15,3,(_3HazardShow=TRUE)/(_3HazardShow=TRUE)*ROW(_3Hazard)-ROW($C$20),ROWS($A$2:A27))),"")</f>
        <v/>
      </c>
      <c r="D45" s="112" t="str" cm="1">
        <f t="array" ref="D45">IF(ROWS($A$2:A27)&lt;=(COUNTIF(_3HazardShow,TRUE)), INDEX(_3HazardRating,_xlfn.AGGREGATE(15,3,(_3HazardShow=TRUE)/(_3HazardShow=TRUE)*ROW(_3Hazard)-ROW($C$20),ROWS($A$2:A27))),"")</f>
        <v/>
      </c>
      <c r="E45" s="282" t="str">
        <f t="shared" si="0"/>
        <v/>
      </c>
      <c r="F45" s="268" t="str" cm="1">
        <f t="array" ref="F45">IF(ROWS($A$2:A27)&lt;=(COUNTIF(_3HazardShow,TRUE)), INDEX(_3HazardJustification,_xlfn.AGGREGATE(15,3,(_3HazardShow=TRUE)/(_3HazardShow=TRUE)*ROW(_3Hazard)-ROW($C$20),ROWS($A$2:A27))),"")</f>
        <v/>
      </c>
    </row>
    <row r="46" spans="2:6" ht="55.25" customHeight="1">
      <c r="B46" s="270"/>
      <c r="C46" s="106" t="str" cm="1">
        <f t="array" ref="C46">IF(ROWS($A$2:A28)&lt;=(COUNTIF(_3HazardShow,TRUE)), INDEX(_3Hazard,_xlfn.AGGREGATE(15,3,(_3HazardShow=TRUE)/(_3HazardShow=TRUE)*ROW(_3Hazard)-ROW($C$20),ROWS($A$2:A28))),"")</f>
        <v/>
      </c>
      <c r="D46" s="112" t="str" cm="1">
        <f t="array" ref="D46">IF(ROWS($A$2:A28)&lt;=(COUNTIF(_3HazardShow,TRUE)), INDEX(_3HazardRating,_xlfn.AGGREGATE(15,3,(_3HazardShow=TRUE)/(_3HazardShow=TRUE)*ROW(_3Hazard)-ROW($C$20),ROWS($A$2:A28))),"")</f>
        <v/>
      </c>
      <c r="E46" s="282" t="str">
        <f t="shared" si="0"/>
        <v/>
      </c>
      <c r="F46" s="268" t="str" cm="1">
        <f t="array" ref="F46">IF(ROWS($A$2:A28)&lt;=(COUNTIF(_3HazardShow,TRUE)), INDEX(_3HazardJustification,_xlfn.AGGREGATE(15,3,(_3HazardShow=TRUE)/(_3HazardShow=TRUE)*ROW(_3Hazard)-ROW($C$20),ROWS($A$2:A28))),"")</f>
        <v/>
      </c>
    </row>
    <row r="47" spans="2:6" ht="55.25" customHeight="1">
      <c r="B47" s="270"/>
      <c r="C47" s="106" t="str" cm="1">
        <f t="array" ref="C47">IF(ROWS($A$2:A29)&lt;=(COUNTIF(_3HazardShow,TRUE)), INDEX(_3Hazard,_xlfn.AGGREGATE(15,3,(_3HazardShow=TRUE)/(_3HazardShow=TRUE)*ROW(_3Hazard)-ROW($C$20),ROWS($A$2:A29))),"")</f>
        <v/>
      </c>
      <c r="D47" s="112" t="str" cm="1">
        <f t="array" ref="D47">IF(ROWS($A$2:A29)&lt;=(COUNTIF(_3HazardShow,TRUE)), INDEX(_3HazardRating,_xlfn.AGGREGATE(15,3,(_3HazardShow=TRUE)/(_3HazardShow=TRUE)*ROW(_3Hazard)-ROW($C$20),ROWS($A$2:A29))),"")</f>
        <v/>
      </c>
      <c r="E47" s="282" t="str">
        <f t="shared" si="0"/>
        <v/>
      </c>
      <c r="F47" s="268" t="str" cm="1">
        <f t="array" ref="F47">IF(ROWS($A$2:A29)&lt;=(COUNTIF(_3HazardShow,TRUE)), INDEX(_3HazardJustification,_xlfn.AGGREGATE(15,3,(_3HazardShow=TRUE)/(_3HazardShow=TRUE)*ROW(_3Hazard)-ROW($C$20),ROWS($A$2:A29))),"")</f>
        <v/>
      </c>
    </row>
    <row r="48" spans="2:6" ht="55.25" customHeight="1">
      <c r="B48" s="270"/>
      <c r="C48" s="106" t="str" cm="1">
        <f t="array" ref="C48">IF(ROWS($A$2:A30)&lt;=(COUNTIF(_3HazardShow,TRUE)), INDEX(_3Hazard,_xlfn.AGGREGATE(15,3,(_3HazardShow=TRUE)/(_3HazardShow=TRUE)*ROW(_3Hazard)-ROW($C$20),ROWS($A$2:A30))),"")</f>
        <v/>
      </c>
      <c r="D48" s="112" t="str" cm="1">
        <f t="array" ref="D48">IF(ROWS($A$2:A30)&lt;=(COUNTIF(_3HazardShow,TRUE)), INDEX(_3HazardRating,_xlfn.AGGREGATE(15,3,(_3HazardShow=TRUE)/(_3HazardShow=TRUE)*ROW(_3Hazard)-ROW($C$20),ROWS($A$2:A30))),"")</f>
        <v/>
      </c>
      <c r="E48" s="282" t="str">
        <f t="shared" si="0"/>
        <v/>
      </c>
      <c r="F48" s="268" t="str" cm="1">
        <f t="array" ref="F48">IF(ROWS($A$2:A30)&lt;=(COUNTIF(_3HazardShow,TRUE)), INDEX(_3HazardJustification,_xlfn.AGGREGATE(15,3,(_3HazardShow=TRUE)/(_3HazardShow=TRUE)*ROW(_3Hazard)-ROW($C$20),ROWS($A$2:A30))),"")</f>
        <v/>
      </c>
    </row>
    <row r="49" spans="2:7" ht="55.25" customHeight="1">
      <c r="B49" s="270"/>
      <c r="C49" s="106" t="str" cm="1">
        <f t="array" ref="C49">IF(ROWS($A$2:A31)&lt;=(COUNTIF(_3HazardShow,TRUE)), INDEX(_3Hazard,_xlfn.AGGREGATE(15,3,(_3HazardShow=TRUE)/(_3HazardShow=TRUE)*ROW(_3Hazard)-ROW($C$20),ROWS($A$2:A31))),"")</f>
        <v/>
      </c>
      <c r="D49" s="112" t="str" cm="1">
        <f t="array" ref="D49">IF(ROWS($A$2:A31)&lt;=(COUNTIF(_3HazardShow,TRUE)), INDEX(_3HazardRating,_xlfn.AGGREGATE(15,3,(_3HazardShow=TRUE)/(_3HazardShow=TRUE)*ROW(_3Hazard)-ROW($C$20),ROWS($A$2:A31))),"")</f>
        <v/>
      </c>
      <c r="E49" s="282" t="str">
        <f t="shared" si="0"/>
        <v/>
      </c>
      <c r="F49" s="268" t="str" cm="1">
        <f t="array" ref="F49">IF(ROWS($A$2:A31)&lt;=(COUNTIF(_3HazardShow,TRUE)), INDEX(_3HazardJustification,_xlfn.AGGREGATE(15,3,(_3HazardShow=TRUE)/(_3HazardShow=TRUE)*ROW(_3Hazard)-ROW($C$20),ROWS($A$2:A31))),"")</f>
        <v/>
      </c>
    </row>
    <row r="50" spans="2:7" ht="55.25" customHeight="1">
      <c r="B50" s="270"/>
      <c r="C50" s="106" t="str" cm="1">
        <f t="array" ref="C50">IF(ROWS($A$2:A32)&lt;=(COUNTIF(_3HazardShow,TRUE)), INDEX(_3Hazard,_xlfn.AGGREGATE(15,3,(_3HazardShow=TRUE)/(_3HazardShow=TRUE)*ROW(_3Hazard)-ROW($C$20),ROWS($A$2:A32))),"")</f>
        <v/>
      </c>
      <c r="D50" s="112" t="str" cm="1">
        <f t="array" ref="D50">IF(ROWS($A$2:A32)&lt;=(COUNTIF(_3HazardShow,TRUE)), INDEX(_3HazardRating,_xlfn.AGGREGATE(15,3,(_3HazardShow=TRUE)/(_3HazardShow=TRUE)*ROW(_3Hazard)-ROW($C$20),ROWS($A$2:A32))),"")</f>
        <v/>
      </c>
      <c r="E50" s="282" t="str">
        <f t="shared" si="0"/>
        <v/>
      </c>
      <c r="F50" s="268" t="str" cm="1">
        <f t="array" ref="F50">IF(ROWS($A$2:A32)&lt;=(COUNTIF(_3HazardShow,TRUE)), INDEX(_3HazardJustification,_xlfn.AGGREGATE(15,3,(_3HazardShow=TRUE)/(_3HazardShow=TRUE)*ROW(_3Hazard)-ROW($C$20),ROWS($A$2:A32))),"")</f>
        <v/>
      </c>
    </row>
    <row r="51" spans="2:7" ht="55.25" customHeight="1">
      <c r="B51" s="270"/>
      <c r="C51" s="106" t="str" cm="1">
        <f t="array" ref="C51">IF(ROWS($A$2:A33)&lt;=(COUNTIF(_3HazardShow,TRUE)), INDEX(_3Hazard,_xlfn.AGGREGATE(15,3,(_3HazardShow=TRUE)/(_3HazardShow=TRUE)*ROW(_3Hazard)-ROW($C$20),ROWS($A$2:A33))),"")</f>
        <v/>
      </c>
      <c r="D51" s="112" t="str" cm="1">
        <f t="array" ref="D51">IF(ROWS($A$2:A33)&lt;=(COUNTIF(_3HazardShow,TRUE)), INDEX(_3HazardRating,_xlfn.AGGREGATE(15,3,(_3HazardShow=TRUE)/(_3HazardShow=TRUE)*ROW(_3Hazard)-ROW($C$20),ROWS($A$2:A33))),"")</f>
        <v/>
      </c>
      <c r="E51" s="282" t="str">
        <f t="shared" si="0"/>
        <v/>
      </c>
      <c r="F51" s="268" t="str" cm="1">
        <f t="array" ref="F51">IF(ROWS($A$2:A33)&lt;=(COUNTIF(_3HazardShow,TRUE)), INDEX(_3HazardJustification,_xlfn.AGGREGATE(15,3,(_3HazardShow=TRUE)/(_3HazardShow=TRUE)*ROW(_3Hazard)-ROW($C$20),ROWS($A$2:A33))),"")</f>
        <v/>
      </c>
    </row>
    <row r="52" spans="2:7" ht="55.25" customHeight="1">
      <c r="B52" s="270"/>
      <c r="C52" s="106" t="str" cm="1">
        <f t="array" ref="C52">IF(ROWS($A$2:A34)&lt;=(COUNTIF(_3HazardShow,TRUE)), INDEX(_3Hazard,_xlfn.AGGREGATE(15,3,(_3HazardShow=TRUE)/(_3HazardShow=TRUE)*ROW(_3Hazard)-ROW($C$20),ROWS($A$2:A34))),"")</f>
        <v/>
      </c>
      <c r="D52" s="112" t="str" cm="1">
        <f t="array" ref="D52">IF(ROWS($A$2:A34)&lt;=(COUNTIF(_3HazardShow,TRUE)), INDEX(_3HazardRating,_xlfn.AGGREGATE(15,3,(_3HazardShow=TRUE)/(_3HazardShow=TRUE)*ROW(_3Hazard)-ROW($C$20),ROWS($A$2:A34))),"")</f>
        <v/>
      </c>
      <c r="E52" s="282" t="str">
        <f t="shared" si="0"/>
        <v/>
      </c>
      <c r="F52" s="268" t="str" cm="1">
        <f t="array" ref="F52">IF(ROWS($A$2:A34)&lt;=(COUNTIF(_3HazardShow,TRUE)), INDEX(_3HazardJustification,_xlfn.AGGREGATE(15,3,(_3HazardShow=TRUE)/(_3HazardShow=TRUE)*ROW(_3Hazard)-ROW($C$20),ROWS($A$2:A34))),"")</f>
        <v/>
      </c>
    </row>
    <row r="53" spans="2:7" ht="55.25" customHeight="1">
      <c r="B53" s="270"/>
      <c r="C53" s="106" t="str" cm="1">
        <f t="array" ref="C53">IF(ROWS($A$2:A35)&lt;=(COUNTIF(_3HazardShow,TRUE)), INDEX(_3Hazard,_xlfn.AGGREGATE(15,3,(_3HazardShow=TRUE)/(_3HazardShow=TRUE)*ROW(_3Hazard)-ROW($C$20),ROWS($A$2:A35))),"")</f>
        <v/>
      </c>
      <c r="D53" s="112" t="str" cm="1">
        <f t="array" ref="D53">IF(ROWS($A$2:A35)&lt;=(COUNTIF(_3HazardShow,TRUE)), INDEX(_3HazardRating,_xlfn.AGGREGATE(15,3,(_3HazardShow=TRUE)/(_3HazardShow=TRUE)*ROW(_3Hazard)-ROW($C$20),ROWS($A$2:A35))),"")</f>
        <v/>
      </c>
      <c r="E53" s="282" t="str">
        <f t="shared" si="0"/>
        <v/>
      </c>
      <c r="F53" s="268" t="str" cm="1">
        <f t="array" ref="F53">IF(ROWS($A$2:A35)&lt;=(COUNTIF(_3HazardShow,TRUE)), INDEX(_3HazardJustification,_xlfn.AGGREGATE(15,3,(_3HazardShow=TRUE)/(_3HazardShow=TRUE)*ROW(_3Hazard)-ROW($C$20),ROWS($A$2:A35))),"")</f>
        <v/>
      </c>
    </row>
    <row r="54" spans="2:7" ht="55.25" customHeight="1">
      <c r="B54" s="270"/>
      <c r="C54" s="106" t="str" cm="1">
        <f t="array" ref="C54">IF(ROWS($A$2:A36)&lt;=(COUNTIF(_3HazardShow,TRUE)), INDEX(_3Hazard,_xlfn.AGGREGATE(15,3,(_3HazardShow=TRUE)/(_3HazardShow=TRUE)*ROW(_3Hazard)-ROW($C$20),ROWS($A$2:A36))),"")</f>
        <v/>
      </c>
      <c r="D54" s="112" t="str" cm="1">
        <f t="array" ref="D54">IF(ROWS($A$2:A36)&lt;=(COUNTIF(_3HazardShow,TRUE)), INDEX(_3HazardRating,_xlfn.AGGREGATE(15,3,(_3HazardShow=TRUE)/(_3HazardShow=TRUE)*ROW(_3Hazard)-ROW($C$20),ROWS($A$2:A36))),"")</f>
        <v/>
      </c>
      <c r="E54" s="282" t="str">
        <f t="shared" si="0"/>
        <v/>
      </c>
      <c r="F54" s="268" t="str" cm="1">
        <f t="array" ref="F54">IF(ROWS($A$2:A36)&lt;=(COUNTIF(_3HazardShow,TRUE)), INDEX(_3HazardJustification,_xlfn.AGGREGATE(15,3,(_3HazardShow=TRUE)/(_3HazardShow=TRUE)*ROW(_3Hazard)-ROW($C$20),ROWS($A$2:A36))),"")</f>
        <v/>
      </c>
    </row>
    <row r="55" spans="2:7" ht="55.25" customHeight="1">
      <c r="B55" s="270"/>
      <c r="C55" s="106" t="str" cm="1">
        <f t="array" ref="C55">IF(ROWS($A$2:A37)&lt;=(COUNTIF(_3HazardShow,TRUE)), INDEX(_3Hazard,_xlfn.AGGREGATE(15,3,(_3HazardShow=TRUE)/(_3HazardShow=TRUE)*ROW(_3Hazard)-ROW($C$20),ROWS($A$2:A37))),"")</f>
        <v/>
      </c>
      <c r="D55" s="112" t="str" cm="1">
        <f t="array" ref="D55">IF(ROWS($A$2:A37)&lt;=(COUNTIF(_3HazardShow,TRUE)), INDEX(_3HazardRating,_xlfn.AGGREGATE(15,3,(_3HazardShow=TRUE)/(_3HazardShow=TRUE)*ROW(_3Hazard)-ROW($C$20),ROWS($A$2:A37))),"")</f>
        <v/>
      </c>
      <c r="E55" s="282" t="str">
        <f t="shared" si="0"/>
        <v/>
      </c>
      <c r="F55" s="268" t="str" cm="1">
        <f t="array" ref="F55">IF(ROWS($A$2:A37)&lt;=(COUNTIF(_3HazardShow,TRUE)), INDEX(_3HazardJustification,_xlfn.AGGREGATE(15,3,(_3HazardShow=TRUE)/(_3HazardShow=TRUE)*ROW(_3Hazard)-ROW($C$20),ROWS($A$2:A37))),"")</f>
        <v/>
      </c>
    </row>
    <row r="56" spans="2:7" ht="55.25" customHeight="1">
      <c r="B56" s="270"/>
      <c r="C56" s="106" t="str" cm="1">
        <f t="array" ref="C56">IF(ROWS($A$2:A38)&lt;=(COUNTIF(_3HazardShow,TRUE)), INDEX(_3Hazard,_xlfn.AGGREGATE(15,3,(_3HazardShow=TRUE)/(_3HazardShow=TRUE)*ROW(_3Hazard)-ROW($C$20),ROWS($A$2:A38))),"")</f>
        <v/>
      </c>
      <c r="D56" s="112" t="str" cm="1">
        <f t="array" ref="D56">IF(ROWS($A$2:A38)&lt;=(COUNTIF(_3HazardShow,TRUE)), INDEX(_3HazardRating,_xlfn.AGGREGATE(15,3,(_3HazardShow=TRUE)/(_3HazardShow=TRUE)*ROW(_3Hazard)-ROW($C$20),ROWS($A$2:A38))),"")</f>
        <v/>
      </c>
      <c r="E56" s="282" t="str">
        <f t="shared" si="0"/>
        <v/>
      </c>
      <c r="F56" s="268" t="str" cm="1">
        <f t="array" ref="F56">IF(ROWS($A$2:A38)&lt;=(COUNTIF(_3HazardShow,TRUE)), INDEX(_3HazardJustification,_xlfn.AGGREGATE(15,3,(_3HazardShow=TRUE)/(_3HazardShow=TRUE)*ROW(_3Hazard)-ROW($C$20),ROWS($A$2:A38))),"")</f>
        <v/>
      </c>
    </row>
    <row r="57" spans="2:7" ht="55.25" customHeight="1">
      <c r="B57" s="270"/>
      <c r="C57" s="106" t="str" cm="1">
        <f t="array" ref="C57">IF(ROWS($A$2:A39)&lt;=(COUNTIF(_3HazardShow,TRUE)), INDEX(_3Hazard,_xlfn.AGGREGATE(15,3,(_3HazardShow=TRUE)/(_3HazardShow=TRUE)*ROW(_3Hazard)-ROW($C$20),ROWS($A$2:A39))),"")</f>
        <v/>
      </c>
      <c r="D57" s="112" t="str" cm="1">
        <f t="array" ref="D57">IF(ROWS($A$2:A39)&lt;=(COUNTIF(_3HazardShow,TRUE)), INDEX(_3HazardRating,_xlfn.AGGREGATE(15,3,(_3HazardShow=TRUE)/(_3HazardShow=TRUE)*ROW(_3Hazard)-ROW($C$20),ROWS($A$2:A39))),"")</f>
        <v/>
      </c>
      <c r="E57" s="282" t="str">
        <f t="shared" si="0"/>
        <v/>
      </c>
      <c r="F57" s="268" t="str" cm="1">
        <f t="array" ref="F57">IF(ROWS($A$2:A39)&lt;=(COUNTIF(_3HazardShow,TRUE)), INDEX(_3HazardJustification,_xlfn.AGGREGATE(15,3,(_3HazardShow=TRUE)/(_3HazardShow=TRUE)*ROW(_3Hazard)-ROW($C$20),ROWS($A$2:A39))),"")</f>
        <v/>
      </c>
    </row>
    <row r="58" spans="2:7" ht="55.25" customHeight="1">
      <c r="B58" s="270"/>
      <c r="C58" s="106" t="str" cm="1">
        <f t="array" ref="C58">IF(ROWS($A$2:A40)&lt;=(COUNTIF(_3HazardShow,TRUE)), INDEX(_3Hazard,_xlfn.AGGREGATE(15,3,(_3HazardShow=TRUE)/(_3HazardShow=TRUE)*ROW(_3Hazard)-ROW($C$20),ROWS($A$2:A40))),"")</f>
        <v/>
      </c>
      <c r="D58" s="112" t="str" cm="1">
        <f t="array" ref="D58">IF(ROWS($A$2:A40)&lt;=(COUNTIF(_3HazardShow,TRUE)), INDEX(_3HazardRating,_xlfn.AGGREGATE(15,3,(_3HazardShow=TRUE)/(_3HazardShow=TRUE)*ROW(_3Hazard)-ROW($C$20),ROWS($A$2:A40))),"")</f>
        <v/>
      </c>
      <c r="E58" s="282" t="str">
        <f t="shared" si="0"/>
        <v/>
      </c>
      <c r="F58" s="268" t="str" cm="1">
        <f t="array" ref="F58">IF(ROWS($A$2:A40)&lt;=(COUNTIF(_3HazardShow,TRUE)), INDEX(_3HazardJustification,_xlfn.AGGREGATE(15,3,(_3HazardShow=TRUE)/(_3HazardShow=TRUE)*ROW(_3Hazard)-ROW($C$20),ROWS($A$2:A40))),"")</f>
        <v/>
      </c>
    </row>
    <row r="59" spans="2:7" ht="55.25" customHeight="1">
      <c r="B59" s="270"/>
      <c r="C59" s="106" t="str" cm="1">
        <f t="array" ref="C59">IF(ROWS($A$2:A41)&lt;=(COUNTIF(_3HazardShow,TRUE)), INDEX(_3Hazard,_xlfn.AGGREGATE(15,3,(_3HazardShow=TRUE)/(_3HazardShow=TRUE)*ROW(_3Hazard)-ROW($C$20),ROWS($A$2:A41))),"")</f>
        <v/>
      </c>
      <c r="D59" s="112" t="str" cm="1">
        <f t="array" ref="D59">IF(ROWS($A$2:A41)&lt;=(COUNTIF(_3HazardShow,TRUE)), INDEX(_3HazardRating,_xlfn.AGGREGATE(15,3,(_3HazardShow=TRUE)/(_3HazardShow=TRUE)*ROW(_3Hazard)-ROW($C$20),ROWS($A$2:A41))),"")</f>
        <v/>
      </c>
      <c r="E59" s="282" t="str">
        <f t="shared" si="0"/>
        <v/>
      </c>
      <c r="F59" s="268" t="str" cm="1">
        <f t="array" ref="F59">IF(ROWS($A$2:A41)&lt;=(COUNTIF(_3HazardShow,TRUE)), INDEX(_3HazardJustification,_xlfn.AGGREGATE(15,3,(_3HazardShow=TRUE)/(_3HazardShow=TRUE)*ROW(_3Hazard)-ROW($C$20),ROWS($A$2:A41))),"")</f>
        <v/>
      </c>
    </row>
    <row r="60" spans="2:7" ht="15" thickBot="1">
      <c r="B60" s="271"/>
      <c r="C60" s="205"/>
      <c r="D60" s="205"/>
      <c r="E60" s="205"/>
      <c r="F60" s="269"/>
      <c r="G60" s="270"/>
    </row>
    <row r="61" spans="2:7" s="262" customFormat="1"/>
  </sheetData>
  <mergeCells count="2">
    <mergeCell ref="C15:E15"/>
    <mergeCell ref="C4:E14"/>
  </mergeCells>
  <conditionalFormatting sqref="C20:C59">
    <cfRule type="expression" dxfId="22" priority="23">
      <formula>AND($C20=0,ISBLANK($C20)=FALSE)</formula>
    </cfRule>
    <cfRule type="expression" dxfId="21" priority="22">
      <formula>$D20="No"</formula>
    </cfRule>
  </conditionalFormatting>
  <conditionalFormatting sqref="D20:D59">
    <cfRule type="expression" dxfId="20" priority="18">
      <formula>D20="Low Impact"</formula>
    </cfRule>
    <cfRule type="expression" dxfId="19" priority="19">
      <formula>D20="High Impact"</formula>
    </cfRule>
    <cfRule type="expression" dxfId="18" priority="20">
      <formula>D20="Moderate Impact"</formula>
    </cfRule>
  </conditionalFormatting>
  <conditionalFormatting sqref="D20:E59">
    <cfRule type="expression" dxfId="17" priority="17">
      <formula>$D20="No"</formula>
    </cfRule>
  </conditionalFormatting>
  <conditionalFormatting sqref="E58:E59">
    <cfRule type="expression" dxfId="16" priority="3">
      <formula>E58="Moderate Impact"</formula>
    </cfRule>
    <cfRule type="expression" dxfId="15" priority="2">
      <formula>E58="High Impact"</formula>
    </cfRule>
    <cfRule type="expression" dxfId="14" priority="1">
      <formula>E58="Low Impact"</formula>
    </cfRule>
  </conditionalFormatting>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28BE-1DDC-431F-82D8-634501A366C7}">
  <sheetPr codeName="Sheet6">
    <tabColor theme="8" tint="0.79998168889431442"/>
  </sheetPr>
  <dimension ref="A1:K46"/>
  <sheetViews>
    <sheetView showGridLines="0" showRowColHeaders="0" zoomScale="80" zoomScaleNormal="80" workbookViewId="0"/>
  </sheetViews>
  <sheetFormatPr baseColWidth="10" defaultColWidth="0" defaultRowHeight="14" zeroHeight="1"/>
  <cols>
    <col min="1" max="2" width="3.33203125" style="262" customWidth="1"/>
    <col min="3" max="3" width="27.1640625" customWidth="1"/>
    <col min="4" max="4" width="47.1640625" customWidth="1"/>
    <col min="5" max="5" width="95.1640625" customWidth="1"/>
    <col min="6" max="7" width="3.33203125" style="262" customWidth="1"/>
    <col min="8" max="8" width="8.6640625" hidden="1" customWidth="1"/>
    <col min="9" max="11" width="0" hidden="1" customWidth="1"/>
    <col min="12" max="16384" width="8.6640625" hidden="1"/>
  </cols>
  <sheetData>
    <row r="1" spans="2:6" s="262" customFormat="1" ht="15" thickBot="1"/>
    <row r="2" spans="2:6" s="262" customFormat="1">
      <c r="B2" s="277"/>
      <c r="C2" s="278"/>
      <c r="D2" s="279"/>
      <c r="E2" s="278"/>
      <c r="F2" s="272"/>
    </row>
    <row r="3" spans="2:6">
      <c r="B3" s="280"/>
      <c r="C3" s="209"/>
      <c r="D3" s="210"/>
      <c r="E3" s="209"/>
      <c r="F3" s="273"/>
    </row>
    <row r="4" spans="2:6" ht="14" customHeight="1">
      <c r="B4" s="280"/>
      <c r="C4" s="396" t="s">
        <v>251</v>
      </c>
      <c r="D4" s="396"/>
      <c r="E4" s="396"/>
      <c r="F4" s="273"/>
    </row>
    <row r="5" spans="2:6" ht="14" customHeight="1">
      <c r="B5" s="280"/>
      <c r="C5" s="396"/>
      <c r="D5" s="396"/>
      <c r="E5" s="396"/>
      <c r="F5" s="273"/>
    </row>
    <row r="6" spans="2:6" ht="14" customHeight="1">
      <c r="B6" s="280"/>
      <c r="C6" s="396"/>
      <c r="D6" s="396"/>
      <c r="E6" s="396"/>
      <c r="F6" s="273"/>
    </row>
    <row r="7" spans="2:6" ht="14" customHeight="1">
      <c r="B7" s="280"/>
      <c r="C7" s="396"/>
      <c r="D7" s="396"/>
      <c r="E7" s="396"/>
      <c r="F7" s="273"/>
    </row>
    <row r="8" spans="2:6" ht="14" customHeight="1">
      <c r="B8" s="280"/>
      <c r="C8" s="396"/>
      <c r="D8" s="396"/>
      <c r="E8" s="396"/>
      <c r="F8" s="273"/>
    </row>
    <row r="9" spans="2:6" ht="14" customHeight="1">
      <c r="B9" s="280"/>
      <c r="C9" s="396"/>
      <c r="D9" s="396"/>
      <c r="E9" s="396"/>
      <c r="F9" s="273"/>
    </row>
    <row r="10" spans="2:6" ht="14" customHeight="1">
      <c r="B10" s="280"/>
      <c r="C10" s="396"/>
      <c r="D10" s="396"/>
      <c r="E10" s="396"/>
      <c r="F10" s="273"/>
    </row>
    <row r="11" spans="2:6" ht="14" customHeight="1">
      <c r="B11" s="280"/>
      <c r="C11" s="396"/>
      <c r="D11" s="396"/>
      <c r="E11" s="396"/>
      <c r="F11" s="273"/>
    </row>
    <row r="12" spans="2:6" ht="14" customHeight="1">
      <c r="B12" s="280"/>
      <c r="C12" s="396"/>
      <c r="D12" s="396"/>
      <c r="E12" s="396"/>
      <c r="F12" s="273"/>
    </row>
    <row r="13" spans="2:6" ht="14" customHeight="1">
      <c r="B13" s="280"/>
      <c r="C13" s="396"/>
      <c r="D13" s="396"/>
      <c r="E13" s="396"/>
      <c r="F13" s="273"/>
    </row>
    <row r="14" spans="2:6" ht="14" customHeight="1">
      <c r="B14" s="280"/>
      <c r="C14" s="396"/>
      <c r="D14" s="396"/>
      <c r="E14" s="396"/>
      <c r="F14" s="273"/>
    </row>
    <row r="15" spans="2:6">
      <c r="B15" s="280"/>
      <c r="C15" s="393"/>
      <c r="D15" s="393"/>
      <c r="E15" s="393"/>
      <c r="F15" s="273"/>
    </row>
    <row r="16" spans="2:6">
      <c r="B16" s="280"/>
      <c r="C16" s="211"/>
      <c r="D16" s="211"/>
      <c r="E16" s="212"/>
      <c r="F16" s="273"/>
    </row>
    <row r="17" spans="2:6">
      <c r="B17" s="280"/>
      <c r="C17" s="213"/>
      <c r="D17" s="214"/>
      <c r="E17" s="215"/>
      <c r="F17" s="273"/>
    </row>
    <row r="18" spans="2:6" ht="15">
      <c r="B18" s="280"/>
      <c r="C18" s="395" t="s">
        <v>279</v>
      </c>
      <c r="D18" s="395"/>
      <c r="E18" s="216" t="s">
        <v>46</v>
      </c>
      <c r="F18" s="273"/>
    </row>
    <row r="19" spans="2:6">
      <c r="B19" s="280"/>
      <c r="C19" s="9"/>
      <c r="D19" s="11"/>
      <c r="E19" s="9"/>
      <c r="F19" s="273"/>
    </row>
    <row r="20" spans="2:6" ht="55.25" customHeight="1">
      <c r="B20" s="280"/>
      <c r="C20" s="218" t="str" cm="1">
        <f t="array" ref="C20">IF(ROWS($A$2:A2)&lt;=(COUNTIF(_4DesignShow,TRUE)), INDEX(_4DesignFeatures,_xlfn.AGGREGATE(15,3,(_4DesignShow=TRUE)/(_4DesignShow=TRUE)*ROW(_4DesignFeatures)-ROW(DF_Calc!$B$5),ROWS($A$2:A2))),"")</f>
        <v>Burying</v>
      </c>
      <c r="D20" s="254" t="str" cm="1">
        <f t="array" ref="D20">IF(ROWS($A$2:A2)&lt;=(COUNTIF(_4DesignShow,TRUE)), INDEX(_4DesignBlurb,_xlfn.AGGREGATE(15,3,(_4DesignShow=TRUE)/(_4DesignShow=TRUE)*ROW(_4DesignFeatures)-ROW(DF_Calc!$B$5),ROWS($A$2:A2))),"")</f>
        <v>Installing the technology or its components underground so that they are less likely to come into contact with wind pressure, fire, or force of flooding.</v>
      </c>
      <c r="E20" s="282" t="str" cm="1">
        <f t="array" ref="E20">IF(ROWS($A$2:A2)&lt;=(COUNTIF(_4DesignShow,TRUE)), INDEX(_4DesignDescription,_xlfn.AGGREGATE(15,3,(_4DesignShow=TRUE)/(_4DesignShow=TRUE)*ROW(_4DesignFeatures)-ROW(DF_Calc!$B$5),ROWS($A$2:A2))),"")</f>
        <v xml:space="preserve">The ABR and pipes are buried underground ~ 2 metres. This protects it from force of flood waters, wave/tidal forces, wind and exposure to fire. </v>
      </c>
      <c r="F20" s="274"/>
    </row>
    <row r="21" spans="2:6" ht="55.25" customHeight="1">
      <c r="B21" s="280"/>
      <c r="C21" s="218" t="str" cm="1">
        <f t="array" ref="C21">IF(ROWS($A$2:A3)&lt;=(COUNTIF(_4DesignShow,TRUE)), INDEX(_4DesignFeatures,_xlfn.AGGREGATE(15,3,(_4DesignShow=TRUE)/(_4DesignShow=TRUE)*ROW(_4DesignFeatures)-ROW(DF_Calc!$B$5),ROWS($A$2:A3))),"")</f>
        <v>No/low inputs</v>
      </c>
      <c r="D21" s="254" t="str" cm="1">
        <f t="array" ref="D21">IF(ROWS($A$2:A3)&lt;=(COUNTIF(_4DesignShow,TRUE)), INDEX(_4DesignBlurb,_xlfn.AGGREGATE(15,3,(_4DesignShow=TRUE)/(_4DesignShow=TRUE)*ROW(_4DesignFeatures)-ROW(DF_Calc!$B$5),ROWS($A$2:A3))),"")</f>
        <v>Technologies that require little or no inputs (e.g. electricity, water, human operators) to operate, thus reducing the need for inputs that could be exposed to disturbances.</v>
      </c>
      <c r="E21" s="282" t="str" cm="1">
        <f t="array" ref="E21">IF(ROWS($A$2:A3)&lt;=(COUNTIF(_4DesignShow,TRUE)), INDEX(_4DesignDescription,_xlfn.AGGREGATE(15,3,(_4DesignShow=TRUE)/(_4DesignShow=TRUE)*ROW(_4DesignFeatures)-ROW(DF_Calc!$B$5),ROWS($A$2:A3))),"")</f>
        <v>No requirements for electricity
No requirements for water beyond the 'normal' inputs from toilets
Limited/irregular maintenance requirements (sludge pumping)</v>
      </c>
      <c r="F21" s="274"/>
    </row>
    <row r="22" spans="2:6" ht="55.25" customHeight="1">
      <c r="B22" s="280"/>
      <c r="C22" s="218" t="str" cm="1">
        <f t="array" ref="C22">IF(ROWS($A$2:A4)&lt;=(COUNTIF(_4DesignShow,TRUE)), INDEX(_4DesignFeatures,_xlfn.AGGREGATE(15,3,(_4DesignShow=TRUE)/(_4DesignShow=TRUE)*ROW(_4DesignFeatures)-ROW(DF_Calc!$B$5),ROWS($A$2:A4))),"")</f>
        <v>Armouring and Strengthening</v>
      </c>
      <c r="D22" s="254" t="str" cm="1">
        <f t="array" ref="D22">IF(ROWS($A$2:A4)&lt;=(COUNTIF(_4DesignShow,TRUE)), INDEX(_4DesignBlurb,_xlfn.AGGREGATE(15,3,(_4DesignShow=TRUE)/(_4DesignShow=TRUE)*ROW(_4DesignFeatures)-ROW(DF_Calc!$B$5),ROWS($A$2:A4))),"")</f>
        <v>Hardening or stiffening the technology or its components against an expected force.</v>
      </c>
      <c r="E22" s="282" t="str" cm="1">
        <f t="array" ref="E22">IF(ROWS($A$2:A4)&lt;=(COUNTIF(_4DesignShow,TRUE)), INDEX(_4DesignDescription,_xlfn.AGGREGATE(15,3,(_4DesignShow=TRUE)/(_4DesignShow=TRUE)*ROW(_4DesignFeatures)-ROW(DF_Calc!$B$5),ROWS($A$2:A4))),"")</f>
        <v xml:space="preserve">Concrete constrution, 20cm thick walls. The concrete will resist against forces from water, wind and fire. </v>
      </c>
      <c r="F22" s="274"/>
    </row>
    <row r="23" spans="2:6" ht="55.25" customHeight="1">
      <c r="B23" s="280"/>
      <c r="C23" s="218" t="str" cm="1">
        <f t="array" ref="C23">IF(ROWS($A$2:A5)&lt;=(COUNTIF(_4DesignShow,TRUE)), INDEX(_4DesignFeatures,_xlfn.AGGREGATE(15,3,(_4DesignShow=TRUE)/(_4DesignShow=TRUE)*ROW(_4DesignFeatures)-ROW(DF_Calc!$B$5),ROWS($A$2:A5))),"")</f>
        <v>Sealing and barriers</v>
      </c>
      <c r="D23" s="254" t="str" cm="1">
        <f t="array" ref="D23">IF(ROWS($A$2:A5)&lt;=(COUNTIF(_4DesignShow,TRUE)), INDEX(_4DesignBlurb,_xlfn.AGGREGATE(15,3,(_4DesignShow=TRUE)/(_4DesignShow=TRUE)*ROW(_4DesignFeatures)-ROW(DF_Calc!$B$5),ROWS($A$2:A5))),"")</f>
        <v>Integrating seals, barriers or other forms of protection into the technology to protect critical components or processes from being disrupted by a hazard.</v>
      </c>
      <c r="E23" s="282" t="str" cm="1">
        <f t="array" ref="E23">IF(ROWS($A$2:A5)&lt;=(COUNTIF(_4DesignShow,TRUE)), INDEX(_4DesignDescription,_xlfn.AGGREGATE(15,3,(_4DesignShow=TRUE)/(_4DesignShow=TRUE)*ROW(_4DesignFeatures)-ROW(DF_Calc!$B$5),ROWS($A$2:A5))),"")</f>
        <v>Sealed inlet chambers, and manholes. If properly constructed, inlet chambers and manholes will prevent ingress from floodwater/seawater entering the ABR</v>
      </c>
      <c r="F23" s="274"/>
    </row>
    <row r="24" spans="2:6" ht="55.25" customHeight="1">
      <c r="B24" s="280"/>
      <c r="C24" s="218" t="str" cm="1">
        <f t="array" ref="C24">IF(ROWS($A$2:A6)&lt;=(COUNTIF(_4DesignShow,TRUE)), INDEX(_4DesignFeatures,_xlfn.AGGREGATE(15,3,(_4DesignShow=TRUE)/(_4DesignShow=TRUE)*ROW(_4DesignFeatures)-ROW(DF_Calc!$B$5),ROWS($A$2:A6))),"")</f>
        <v>Redundancy and dive</v>
      </c>
      <c r="D24" s="254" t="str" cm="1">
        <f t="array" ref="D24">IF(ROWS($A$2:A6)&lt;=(COUNTIF(_4DesignShow,TRUE)), INDEX(_4DesignBlurb,_xlfn.AGGREGATE(15,3,(_4DesignShow=TRUE)/(_4DesignShow=TRUE)*ROW(_4DesignFeatures)-ROW(DF_Calc!$B$5),ROWS($A$2:A6))),"")</f>
        <v>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v>
      </c>
      <c r="E24" s="282" t="str" cm="1">
        <f t="array" ref="E24">IF(ROWS($A$2:A6)&lt;=(COUNTIF(_4DesignShow,TRUE)), INDEX(_4DesignDescription,_xlfn.AGGREGATE(15,3,(_4DesignShow=TRUE)/(_4DesignShow=TRUE)*ROW(_4DesignFeatures)-ROW(DF_Calc!$B$5),ROWS($A$2:A6))),"")</f>
        <v>Multiple settlement and ABR chambers. If one chamber fails, the other chamber/s will provide a level of treatment.</v>
      </c>
      <c r="F24" s="274"/>
    </row>
    <row r="25" spans="2:6" ht="55.25" customHeight="1">
      <c r="B25" s="280"/>
      <c r="C25" s="218" t="str" cm="1">
        <f t="array" ref="C25">IF(ROWS($A$2:A7)&lt;=(COUNTIF(_4DesignShow,TRUE)), INDEX(_4DesignFeatures,_xlfn.AGGREGATE(15,3,(_4DesignShow=TRUE)/(_4DesignShow=TRUE)*ROW(_4DesignFeatures)-ROW(DF_Calc!$B$5),ROWS($A$2:A7))),"")</f>
        <v>Decentralisation</v>
      </c>
      <c r="D25" s="254" t="str" cm="1">
        <f t="array" ref="D25">IF(ROWS($A$2:A7)&lt;=(COUNTIF(_4DesignShow,TRUE)), INDEX(_4DesignBlurb,_xlfn.AGGREGATE(15,3,(_4DesignShow=TRUE)/(_4DesignShow=TRUE)*ROW(_4DesignFeatures)-ROW(DF_Calc!$B$5),ROWS($A$2:A7))),"")</f>
        <v>Failures in decentralised systems (small-scale individual or clustered systems) are isolated locally which prevents failures from cascading and causing outages to many users/households.</v>
      </c>
      <c r="E25" s="282" t="str" cm="1">
        <f t="array" ref="E25">IF(ROWS($A$2:A7)&lt;=(COUNTIF(_4DesignShow,TRUE)), INDEX(_4DesignDescription,_xlfn.AGGREGATE(15,3,(_4DesignShow=TRUE)/(_4DesignShow=TRUE)*ROW(_4DesignFeatures)-ROW(DF_Calc!$B$5),ROWS($A$2:A7))),"")</f>
        <v>Decentralised technology, may be connected to several households.  In the event of a failure, only a limited number of households connected to the ABR will be impacted. Compared to a sewered technology where large #'s of households would be impacted.</v>
      </c>
      <c r="F25" s="274"/>
    </row>
    <row r="26" spans="2:6" ht="55.25" customHeight="1">
      <c r="B26" s="280"/>
      <c r="C26" s="218" t="str" cm="1">
        <f t="array" ref="C26">IF(ROWS($A$2:A8)&lt;=(COUNTIF(_4DesignShow,TRUE)), INDEX(_4DesignFeatures,_xlfn.AGGREGATE(15,3,(_4DesignShow=TRUE)/(_4DesignShow=TRUE)*ROW(_4DesignFeatures)-ROW(DF_Calc!$B$5),ROWS($A$2:A8))),"")</f>
        <v>Safe disposal</v>
      </c>
      <c r="D26" s="254" t="str" cm="1">
        <f t="array" ref="D26">IF(ROWS($A$2:A8)&lt;=(COUNTIF(_4DesignShow,TRUE)), INDEX(_4DesignBlurb,_xlfn.AGGREGATE(15,3,(_4DesignShow=TRUE)/(_4DesignShow=TRUE)*ROW(_4DesignFeatures)-ROW(DF_Calc!$B$5),ROWS($A$2:A8))),"")</f>
        <v>The materials from the destroyed technology are not toxic to the environment or public health and can be safely disposed.</v>
      </c>
      <c r="E26" s="282" t="str" cm="1">
        <f t="array" ref="E26">IF(ROWS($A$2:A8)&lt;=(COUNTIF(_4DesignShow,TRUE)), INDEX(_4DesignDescription,_xlfn.AGGREGATE(15,3,(_4DesignShow=TRUE)/(_4DesignShow=TRUE)*ROW(_4DesignFeatures)-ROW(DF_Calc!$B$5),ROWS($A$2:A8))),"")</f>
        <v xml:space="preserve">Materials are concrete, PVC and steel. If destroyed in fire, flood, etc it does not cause environmental pollution beyond the wastewater waste. There are not materials that would leach into groundwater or create other adverse public health affects. </v>
      </c>
      <c r="F26" s="274"/>
    </row>
    <row r="27" spans="2:6" ht="55.25" customHeight="1">
      <c r="B27" s="280"/>
      <c r="C27" s="218" t="str" cm="1">
        <f t="array" ref="C27">IF(ROWS($A$2:A9)&lt;=(COUNTIF(_4DesignShow,TRUE)), INDEX(_4DesignFeatures,_xlfn.AGGREGATE(15,3,(_4DesignShow=TRUE)/(_4DesignShow=TRUE)*ROW(_4DesignFeatures)-ROW(DF_Calc!$B$5),ROWS($A$2:A9))),"")</f>
        <v>Fail-silence</v>
      </c>
      <c r="D27" s="254" t="str" cm="1">
        <f t="array" ref="D27">IF(ROWS($A$2:A9)&lt;=(COUNTIF(_4DesignShow,TRUE)), INDEX(_4DesignBlurb,_xlfn.AGGREGATE(15,3,(_4DesignShow=TRUE)/(_4DesignShow=TRUE)*ROW(_4DesignFeatures)-ROW(DF_Calc!$B$5),ROWS($A$2:A9))),"")</f>
        <v>If the technology fails so that it cannot be used anymore, no failure will pose a continual health risk to the public or the environment beyond making the technology unavailable for use.</v>
      </c>
      <c r="E27" s="282" t="str" cm="1">
        <f t="array" ref="E27">IF(ROWS($A$2:A9)&lt;=(COUNTIF(_4DesignShow,TRUE)), INDEX(_4DesignDescription,_xlfn.AGGREGATE(15,3,(_4DesignShow=TRUE)/(_4DesignShow=TRUE)*ROW(_4DesignFeatures)-ROW(DF_Calc!$B$5),ROWS($A$2:A9))),"")</f>
        <v>Waste is held in the tank until it dries out if the ST stops operating which does not pose a continual health risk</v>
      </c>
      <c r="F27" s="274"/>
    </row>
    <row r="28" spans="2:6" ht="55.25" customHeight="1">
      <c r="B28" s="280"/>
      <c r="C28" s="218" t="str" cm="1">
        <f t="array" ref="C28">IF(ROWS($A$2:A10)&lt;=(COUNTIF(_4DesignShow,TRUE)), INDEX(_4DesignFeatures,_xlfn.AGGREGATE(15,3,(_4DesignShow=TRUE)/(_4DesignShow=TRUE)*ROW(_4DesignFeatures)-ROW(DF_Calc!$B$5),ROWS($A$2:A10))),"")</f>
        <v>Repair speed</v>
      </c>
      <c r="D28" s="254" t="str" cm="1">
        <f t="array" ref="D28">IF(ROWS($A$2:A10)&lt;=(COUNTIF(_4DesignShow,TRUE)), INDEX(_4DesignBlurb,_xlfn.AGGREGATE(15,3,(_4DesignShow=TRUE)/(_4DesignShow=TRUE)*ROW(_4DesignFeatures)-ROW(DF_Calc!$B$5),ROWS($A$2:A10))),"")</f>
        <v>The technology, its components, processes, or its operations can be quickly replaced, rebuilt or restored if destroyed or disrupted so that performance downtime or degradation is minimised.</v>
      </c>
      <c r="E28" s="282" t="str" cm="1">
        <f t="array" ref="E28">IF(ROWS($A$2:A10)&lt;=(COUNTIF(_4DesignShow,TRUE)), INDEX(_4DesignDescription,_xlfn.AGGREGATE(15,3,(_4DesignShow=TRUE)/(_4DesignShow=TRUE)*ROW(_4DesignFeatures)-ROW(DF_Calc!$B$5),ROWS($A$2:A10))),"")</f>
        <v xml:space="preserve">Locally available materials
Simple construction. If the ABR is physically damaged, it is likely that repairs could be done by local labour using local materials. </v>
      </c>
      <c r="F28" s="274"/>
    </row>
    <row r="29" spans="2:6" ht="55.25" customHeight="1">
      <c r="B29" s="280"/>
      <c r="C29" s="218" t="str" cm="1">
        <f t="array" ref="C29">IF(ROWS($A$2:A11)&lt;=(COUNTIF(_4DesignShow,TRUE)), INDEX(_4DesignFeatures,_xlfn.AGGREGATE(15,3,(_4DesignShow=TRUE)/(_4DesignShow=TRUE)*ROW(_4DesignFeatures)-ROW(DF_Calc!$B$5),ROWS($A$2:A11))),"")</f>
        <v>Accessibility for rapid flaw detection and repair</v>
      </c>
      <c r="D29" s="254" t="str" cm="1">
        <f t="array" ref="D29">IF(ROWS($A$2:A11)&lt;=(COUNTIF(_4DesignShow,TRUE)), INDEX(_4DesignBlurb,_xlfn.AGGREGATE(15,3,(_4DesignShow=TRUE)/(_4DesignShow=TRUE)*ROW(_4DesignFeatures)-ROW(DF_Calc!$B$5),ROWS($A$2:A11))),"")</f>
        <v>Components or processes of the technology can be easily accessed for examination.</v>
      </c>
      <c r="E29" s="282" t="str" cm="1">
        <f t="array" ref="E29">IF(ROWS($A$2:A11)&lt;=(COUNTIF(_4DesignShow,TRUE)), INDEX(_4DesignDescription,_xlfn.AGGREGATE(15,3,(_4DesignShow=TRUE)/(_4DesignShow=TRUE)*ROW(_4DesignFeatures)-ROW(DF_Calc!$B$5),ROWS($A$2:A11))),"")</f>
        <v xml:space="preserve">Access hatch for repairs. The chambers can be easily accessed for repairs from the ground.  </v>
      </c>
      <c r="F29" s="274"/>
    </row>
    <row r="30" spans="2:6" ht="55.25" customHeight="1">
      <c r="B30" s="280"/>
      <c r="C30" s="218" t="str" cm="1">
        <f t="array" ref="C30">IF(ROWS($A$2:A12)&lt;=(COUNTIF(_4DesignShow,TRUE)), INDEX(_4DesignFeatures,_xlfn.AGGREGATE(15,3,(_4DesignShow=TRUE)/(_4DesignShow=TRUE)*ROW(_4DesignFeatures)-ROW(DF_Calc!$B$5),ROWS($A$2:A12))),"")</f>
        <v>Hybridising</v>
      </c>
      <c r="D30" s="254" t="str" cm="1">
        <f t="array" ref="D30">IF(ROWS($A$2:A12)&lt;=(COUNTIF(_4DesignShow,TRUE)), INDEX(_4DesignBlurb,_xlfn.AGGREGATE(15,3,(_4DesignShow=TRUE)/(_4DesignShow=TRUE)*ROW(_4DesignFeatures)-ROW(DF_Calc!$B$5),ROWS($A$2:A12))),"")</f>
        <v>Unrelated systems or technologies share the same physical space or structure, thus saving space and enhancing opportunities for reciprocity.</v>
      </c>
      <c r="E30" s="282" t="str" cm="1">
        <f t="array" ref="E30">IF(ROWS($A$2:A12)&lt;=(COUNTIF(_4DesignShow,TRUE)), INDEX(_4DesignDescription,_xlfn.AGGREGATE(15,3,(_4DesignShow=TRUE)/(_4DesignShow=TRUE)*ROW(_4DesignFeatures)-ROW(DF_Calc!$B$5),ROWS($A$2:A12))),"")</f>
        <v>Surface can be used as a road/hard surface</v>
      </c>
      <c r="F30" s="274"/>
    </row>
    <row r="31" spans="2:6" ht="55.25" customHeight="1">
      <c r="B31" s="280"/>
      <c r="C31" s="218" t="str" cm="1">
        <f t="array" ref="C31">IF(ROWS($A$2:A13)&lt;=(COUNTIF(_4DesignShow,TRUE)), INDEX(_4DesignFeatures,_xlfn.AGGREGATE(15,3,(_4DesignShow=TRUE)/(_4DesignShow=TRUE)*ROW(_4DesignFeatures)-ROW(DF_Calc!$B$5),ROWS($A$2:A13))),"")</f>
        <v/>
      </c>
      <c r="D31" s="254" t="str" cm="1">
        <f t="array" ref="D31">IF(ROWS($A$2:A13)&lt;=(COUNTIF(_4DesignShow,TRUE)), INDEX(_4DesignBlurb,_xlfn.AGGREGATE(15,3,(_4DesignShow=TRUE)/(_4DesignShow=TRUE)*ROW(_4DesignFeatures)-ROW(DF_Calc!$B$5),ROWS($A$2:A13))),"")</f>
        <v/>
      </c>
      <c r="E31" s="282" t="str" cm="1">
        <f t="array" ref="E31">IF(ROWS($A$2:A13)&lt;=(COUNTIF(_4DesignShow,TRUE)), INDEX(_4DesignDescription,_xlfn.AGGREGATE(15,3,(_4DesignShow=TRUE)/(_4DesignShow=TRUE)*ROW(_4DesignFeatures)-ROW(DF_Calc!$B$5),ROWS($A$2:A13))),"")</f>
        <v/>
      </c>
      <c r="F31" s="274"/>
    </row>
    <row r="32" spans="2:6" ht="55.25" customHeight="1">
      <c r="B32" s="280"/>
      <c r="C32" s="218" t="str" cm="1">
        <f t="array" ref="C32">IF(ROWS($A$2:A14)&lt;=(COUNTIF(_4DesignShow,TRUE)), INDEX(_4DesignFeatures,_xlfn.AGGREGATE(15,3,(_4DesignShow=TRUE)/(_4DesignShow=TRUE)*ROW(_4DesignFeatures)-ROW(DF_Calc!$B$5),ROWS($A$2:A14))),"")</f>
        <v/>
      </c>
      <c r="D32" s="254" t="str" cm="1">
        <f t="array" ref="D32">IF(ROWS($A$2:A14)&lt;=(COUNTIF(_4DesignShow,TRUE)), INDEX(_4DesignBlurb,_xlfn.AGGREGATE(15,3,(_4DesignShow=TRUE)/(_4DesignShow=TRUE)*ROW(_4DesignFeatures)-ROW(DF_Calc!$B$5),ROWS($A$2:A14))),"")</f>
        <v/>
      </c>
      <c r="E32" s="282" t="str" cm="1">
        <f t="array" ref="E32">IF(ROWS($A$2:A14)&lt;=(COUNTIF(_4DesignShow,TRUE)), INDEX(_4DesignDescription,_xlfn.AGGREGATE(15,3,(_4DesignShow=TRUE)/(_4DesignShow=TRUE)*ROW(_4DesignFeatures)-ROW(DF_Calc!$B$5),ROWS($A$2:A14))),"")</f>
        <v/>
      </c>
      <c r="F32" s="274"/>
    </row>
    <row r="33" spans="2:7" ht="55.25" customHeight="1">
      <c r="B33" s="280"/>
      <c r="C33" s="218" t="str" cm="1">
        <f t="array" ref="C33">IF(ROWS($A$2:A15)&lt;=(COUNTIF(_4DesignShow,TRUE)), INDEX(_4DesignFeatures,_xlfn.AGGREGATE(15,3,(_4DesignShow=TRUE)/(_4DesignShow=TRUE)*ROW(_4DesignFeatures)-ROW(DF_Calc!$B$5),ROWS($A$2:A15))),"")</f>
        <v/>
      </c>
      <c r="D33" s="254" t="str" cm="1">
        <f t="array" ref="D33">IF(ROWS($A$2:A15)&lt;=(COUNTIF(_4DesignShow,TRUE)), INDEX(_4DesignBlurb,_xlfn.AGGREGATE(15,3,(_4DesignShow=TRUE)/(_4DesignShow=TRUE)*ROW(_4DesignFeatures)-ROW(DF_Calc!$B$5),ROWS($A$2:A15))),"")</f>
        <v/>
      </c>
      <c r="E33" s="282" t="str" cm="1">
        <f t="array" ref="E33">IF(ROWS($A$2:A15)&lt;=(COUNTIF(_4DesignShow,TRUE)), INDEX(_4DesignDescription,_xlfn.AGGREGATE(15,3,(_4DesignShow=TRUE)/(_4DesignShow=TRUE)*ROW(_4DesignFeatures)-ROW(DF_Calc!$B$5),ROWS($A$2:A15))),"")</f>
        <v/>
      </c>
      <c r="F33" s="274"/>
    </row>
    <row r="34" spans="2:7" ht="55.25" customHeight="1">
      <c r="B34" s="280"/>
      <c r="C34" s="218" t="str" cm="1">
        <f t="array" ref="C34">IF(ROWS($A$2:A16)&lt;=(COUNTIF(_4DesignShow,TRUE)), INDEX(_4DesignFeatures,_xlfn.AGGREGATE(15,3,(_4DesignShow=TRUE)/(_4DesignShow=TRUE)*ROW(_4DesignFeatures)-ROW(DF_Calc!$B$5),ROWS($A$2:A16))),"")</f>
        <v/>
      </c>
      <c r="D34" s="254" t="str" cm="1">
        <f t="array" ref="D34">IF(ROWS($A$2:A16)&lt;=(COUNTIF(_4DesignShow,TRUE)), INDEX(_4DesignBlurb,_xlfn.AGGREGATE(15,3,(_4DesignShow=TRUE)/(_4DesignShow=TRUE)*ROW(_4DesignFeatures)-ROW(DF_Calc!$B$5),ROWS($A$2:A16))),"")</f>
        <v/>
      </c>
      <c r="E34" s="282" t="str" cm="1">
        <f t="array" ref="E34">IF(ROWS($A$2:A16)&lt;=(COUNTIF(_4DesignShow,TRUE)), INDEX(_4DesignDescription,_xlfn.AGGREGATE(15,3,(_4DesignShow=TRUE)/(_4DesignShow=TRUE)*ROW(_4DesignFeatures)-ROW(DF_Calc!$B$5),ROWS($A$2:A16))),"")</f>
        <v/>
      </c>
      <c r="F34" s="274"/>
    </row>
    <row r="35" spans="2:7" ht="55.25" customHeight="1">
      <c r="B35" s="280"/>
      <c r="C35" s="218" t="str" cm="1">
        <f t="array" ref="C35">IF(ROWS($A$2:A17)&lt;=(COUNTIF(_4DesignShow,TRUE)), INDEX(_4DesignFeatures,_xlfn.AGGREGATE(15,3,(_4DesignShow=TRUE)/(_4DesignShow=TRUE)*ROW(_4DesignFeatures)-ROW(DF_Calc!$B$5),ROWS($A$2:A17))),"")</f>
        <v/>
      </c>
      <c r="D35" s="254" t="str" cm="1">
        <f t="array" ref="D35">IF(ROWS($A$2:A17)&lt;=(COUNTIF(_4DesignShow,TRUE)), INDEX(_4DesignBlurb,_xlfn.AGGREGATE(15,3,(_4DesignShow=TRUE)/(_4DesignShow=TRUE)*ROW(_4DesignFeatures)-ROW(DF_Calc!$B$5),ROWS($A$2:A17))),"")</f>
        <v/>
      </c>
      <c r="E35" s="282" t="str" cm="1">
        <f t="array" ref="E35">IF(ROWS($A$2:A17)&lt;=(COUNTIF(_4DesignShow,TRUE)), INDEX(_4DesignDescription,_xlfn.AGGREGATE(15,3,(_4DesignShow=TRUE)/(_4DesignShow=TRUE)*ROW(_4DesignFeatures)-ROW(DF_Calc!$B$5),ROWS($A$2:A17))),"")</f>
        <v/>
      </c>
      <c r="F35" s="274"/>
    </row>
    <row r="36" spans="2:7" ht="55.25" customHeight="1">
      <c r="B36" s="280"/>
      <c r="C36" s="218" t="str" cm="1">
        <f t="array" ref="C36">IF(ROWS($A$2:A18)&lt;=(COUNTIF(_4DesignShow,TRUE)), INDEX(_4DesignFeatures,_xlfn.AGGREGATE(15,3,(_4DesignShow=TRUE)/(_4DesignShow=TRUE)*ROW(_4DesignFeatures)-ROW(DF_Calc!$B$5),ROWS($A$2:A18))),"")</f>
        <v/>
      </c>
      <c r="D36" s="254" t="str" cm="1">
        <f t="array" ref="D36">IF(ROWS($A$2:A18)&lt;=(COUNTIF(_4DesignShow,TRUE)), INDEX(_4DesignBlurb,_xlfn.AGGREGATE(15,3,(_4DesignShow=TRUE)/(_4DesignShow=TRUE)*ROW(_4DesignFeatures)-ROW(DF_Calc!$B$5),ROWS($A$2:A18))),"")</f>
        <v/>
      </c>
      <c r="E36" s="282" t="str" cm="1">
        <f t="array" ref="E36">IF(ROWS($A$2:A18)&lt;=(COUNTIF(_4DesignShow,TRUE)), INDEX(_4DesignDescription,_xlfn.AGGREGATE(15,3,(_4DesignShow=TRUE)/(_4DesignShow=TRUE)*ROW(_4DesignFeatures)-ROW(DF_Calc!$B$5),ROWS($A$2:A18))),"")</f>
        <v/>
      </c>
      <c r="F36" s="274"/>
    </row>
    <row r="37" spans="2:7" ht="55.25" customHeight="1">
      <c r="B37" s="280"/>
      <c r="C37" s="218" t="str" cm="1">
        <f t="array" ref="C37">IF(ROWS($A$2:A19)&lt;=(COUNTIF(_4DesignShow,TRUE)), INDEX(_4DesignFeatures,_xlfn.AGGREGATE(15,3,(_4DesignShow=TRUE)/(_4DesignShow=TRUE)*ROW(_4DesignFeatures)-ROW(DF_Calc!$B$5),ROWS($A$2:A19))),"")</f>
        <v/>
      </c>
      <c r="D37" s="254" t="str" cm="1">
        <f t="array" ref="D37">IF(ROWS($A$2:A19)&lt;=(COUNTIF(_4DesignShow,TRUE)), INDEX(_4DesignBlurb,_xlfn.AGGREGATE(15,3,(_4DesignShow=TRUE)/(_4DesignShow=TRUE)*ROW(_4DesignFeatures)-ROW(DF_Calc!$B$5),ROWS($A$2:A19))),"")</f>
        <v/>
      </c>
      <c r="E37" s="282" t="str" cm="1">
        <f t="array" ref="E37">IF(ROWS($A$2:A19)&lt;=(COUNTIF(_4DesignShow,TRUE)), INDEX(_4DesignDescription,_xlfn.AGGREGATE(15,3,(_4DesignShow=TRUE)/(_4DesignShow=TRUE)*ROW(_4DesignFeatures)-ROW(DF_Calc!$B$5),ROWS($A$2:A19))),"")</f>
        <v/>
      </c>
      <c r="F37" s="274"/>
    </row>
    <row r="38" spans="2:7" ht="55.25" customHeight="1">
      <c r="B38" s="280"/>
      <c r="C38" s="218" t="str" cm="1">
        <f t="array" ref="C38">IF(ROWS($A$2:A20)&lt;=(COUNTIF(_4DesignShow,TRUE)), INDEX(_4DesignFeatures,_xlfn.AGGREGATE(15,3,(_4DesignShow=TRUE)/(_4DesignShow=TRUE)*ROW(_4DesignFeatures)-ROW(DF_Calc!$B$5),ROWS($A$2:A20))),"")</f>
        <v/>
      </c>
      <c r="D38" s="254" t="str" cm="1">
        <f t="array" ref="D38">IF(ROWS($A$2:A20)&lt;=(COUNTIF(_4DesignShow,TRUE)), INDEX(_4DesignBlurb,_xlfn.AGGREGATE(15,3,(_4DesignShow=TRUE)/(_4DesignShow=TRUE)*ROW(_4DesignFeatures)-ROW(DF_Calc!$B$5),ROWS($A$2:A20))),"")</f>
        <v/>
      </c>
      <c r="E38" s="282" t="str" cm="1">
        <f t="array" ref="E38">IF(ROWS($A$2:A20)&lt;=(COUNTIF(_4DesignShow,TRUE)), INDEX(_4DesignDescription,_xlfn.AGGREGATE(15,3,(_4DesignShow=TRUE)/(_4DesignShow=TRUE)*ROW(_4DesignFeatures)-ROW(DF_Calc!$B$5),ROWS($A$2:A20))),"")</f>
        <v/>
      </c>
      <c r="F38" s="274"/>
    </row>
    <row r="39" spans="2:7" ht="55.25" customHeight="1">
      <c r="B39" s="280"/>
      <c r="C39" s="218" t="str" cm="1">
        <f t="array" ref="C39">IF(ROWS($A$2:A21)&lt;=(COUNTIF(_4DesignShow,TRUE)), INDEX(_4DesignFeatures,_xlfn.AGGREGATE(15,3,(_4DesignShow=TRUE)/(_4DesignShow=TRUE)*ROW(_4DesignFeatures)-ROW(DF_Calc!$B$5),ROWS($A$2:A21))),"")</f>
        <v/>
      </c>
      <c r="D39" s="254" t="str" cm="1">
        <f t="array" ref="D39">IF(ROWS($A$2:A21)&lt;=(COUNTIF(_4DesignShow,TRUE)), INDEX(_4DesignBlurb,_xlfn.AGGREGATE(15,3,(_4DesignShow=TRUE)/(_4DesignShow=TRUE)*ROW(_4DesignFeatures)-ROW(DF_Calc!$B$5),ROWS($A$2:A21))),"")</f>
        <v/>
      </c>
      <c r="E39" s="282" t="str" cm="1">
        <f t="array" ref="E39">IF(ROWS($A$2:A21)&lt;=(COUNTIF(_4DesignShow,TRUE)), INDEX(_4DesignDescription,_xlfn.AGGREGATE(15,3,(_4DesignShow=TRUE)/(_4DesignShow=TRUE)*ROW(_4DesignFeatures)-ROW(DF_Calc!$B$5),ROWS($A$2:A21))),"")</f>
        <v/>
      </c>
      <c r="F39" s="274"/>
    </row>
    <row r="40" spans="2:7" ht="55.25" customHeight="1">
      <c r="B40" s="280"/>
      <c r="C40" s="218" t="str" cm="1">
        <f t="array" ref="C40">IF(ROWS($A$2:A22)&lt;=(COUNTIF(_4DesignShow,TRUE)), INDEX(_4DesignFeatures,_xlfn.AGGREGATE(15,3,(_4DesignShow=TRUE)/(_4DesignShow=TRUE)*ROW(_4DesignFeatures)-ROW(DF_Calc!$B$5),ROWS($A$2:A22))),"")</f>
        <v/>
      </c>
      <c r="D40" s="254" t="str" cm="1">
        <f t="array" ref="D40">IF(ROWS($A$2:A22)&lt;=(COUNTIF(_4DesignShow,TRUE)), INDEX(_4DesignBlurb,_xlfn.AGGREGATE(15,3,(_4DesignShow=TRUE)/(_4DesignShow=TRUE)*ROW(_4DesignFeatures)-ROW(DF_Calc!$B$5),ROWS($A$2:A22))),"")</f>
        <v/>
      </c>
      <c r="E40" s="282" t="str" cm="1">
        <f t="array" ref="E40">IF(ROWS($A$2:A22)&lt;=(COUNTIF(_4DesignShow,TRUE)), INDEX(_4DesignDescription,_xlfn.AGGREGATE(15,3,(_4DesignShow=TRUE)/(_4DesignShow=TRUE)*ROW(_4DesignFeatures)-ROW(DF_Calc!$B$5),ROWS($A$2:A22))),"")</f>
        <v/>
      </c>
      <c r="F40" s="274"/>
    </row>
    <row r="41" spans="2:7" ht="55.25" customHeight="1">
      <c r="B41" s="280"/>
      <c r="C41" s="218" t="str" cm="1">
        <f t="array" ref="C41">IF(ROWS($A$2:A23)&lt;=(COUNTIF(_4DesignShow,TRUE)), INDEX(_4DesignFeatures,_xlfn.AGGREGATE(15,3,(_4DesignShow=TRUE)/(_4DesignShow=TRUE)*ROW(_4DesignFeatures)-ROW(DF_Calc!$B$5),ROWS($A$2:A23))),"")</f>
        <v/>
      </c>
      <c r="D41" s="254" t="str" cm="1">
        <f t="array" ref="D41">IF(ROWS($A$2:A23)&lt;=(COUNTIF(_4DesignShow,TRUE)), INDEX(_4DesignBlurb,_xlfn.AGGREGATE(15,3,(_4DesignShow=TRUE)/(_4DesignShow=TRUE)*ROW(_4DesignFeatures)-ROW(DF_Calc!$B$5),ROWS($A$2:A23))),"")</f>
        <v/>
      </c>
      <c r="E41" s="282" t="str" cm="1">
        <f t="array" ref="E41">IF(ROWS($A$2:A23)&lt;=(COUNTIF(_4DesignShow,TRUE)), INDEX(_4DesignDescription,_xlfn.AGGREGATE(15,3,(_4DesignShow=TRUE)/(_4DesignShow=TRUE)*ROW(_4DesignFeatures)-ROW(DF_Calc!$B$5),ROWS($A$2:A23))),"")</f>
        <v/>
      </c>
      <c r="F41" s="274"/>
    </row>
    <row r="42" spans="2:7" ht="55.25" customHeight="1">
      <c r="B42" s="280"/>
      <c r="C42" s="218" t="str" cm="1">
        <f t="array" ref="C42">IF(ROWS($A$2:A24)&lt;=(COUNTIF(_4DesignShow,TRUE)), INDEX(_4DesignFeatures,_xlfn.AGGREGATE(15,3,(_4DesignShow=TRUE)/(_4DesignShow=TRUE)*ROW(_4DesignFeatures)-ROW(DF_Calc!$B$5),ROWS($A$2:A24))),"")</f>
        <v/>
      </c>
      <c r="D42" s="254" t="str" cm="1">
        <f t="array" ref="D42">IF(ROWS($A$2:A24)&lt;=(COUNTIF(_4DesignShow,TRUE)), INDEX(_4DesignBlurb,_xlfn.AGGREGATE(15,3,(_4DesignShow=TRUE)/(_4DesignShow=TRUE)*ROW(_4DesignFeatures)-ROW(DF_Calc!$B$5),ROWS($A$2:A24))),"")</f>
        <v/>
      </c>
      <c r="E42" s="282" t="str" cm="1">
        <f t="array" ref="E42">IF(ROWS($A$2:A24)&lt;=(COUNTIF(_4DesignShow,TRUE)), INDEX(_4DesignDescription,_xlfn.AGGREGATE(15,3,(_4DesignShow=TRUE)/(_4DesignShow=TRUE)*ROW(_4DesignFeatures)-ROW(DF_Calc!$B$5),ROWS($A$2:A24))),"")</f>
        <v/>
      </c>
      <c r="F42" s="274"/>
    </row>
    <row r="43" spans="2:7" ht="55.25" customHeight="1">
      <c r="B43" s="280"/>
      <c r="C43" s="218" t="str" cm="1">
        <f t="array" ref="C43">IF(ROWS($A$2:A25)&lt;=(COUNTIF(_4DesignShow,TRUE)), INDEX(_4DesignFeatures,_xlfn.AGGREGATE(15,3,(_4DesignShow=TRUE)/(_4DesignShow=TRUE)*ROW(_4DesignFeatures)-ROW(DF_Calc!$B$5),ROWS($A$2:A25))),"")</f>
        <v/>
      </c>
      <c r="D43" s="254" t="str" cm="1">
        <f t="array" ref="D43">IF(ROWS($A$2:A25)&lt;=(COUNTIF(_4DesignShow,TRUE)), INDEX(_4DesignBlurb,_xlfn.AGGREGATE(15,3,(_4DesignShow=TRUE)/(_4DesignShow=TRUE)*ROW(_4DesignFeatures)-ROW(DF_Calc!$B$5),ROWS($A$2:A25))),"")</f>
        <v/>
      </c>
      <c r="E43" s="282" t="str" cm="1">
        <f t="array" ref="E43">IF(ROWS($A$2:A25)&lt;=(COUNTIF(_4DesignShow,TRUE)), INDEX(_4DesignDescription,_xlfn.AGGREGATE(15,3,(_4DesignShow=TRUE)/(_4DesignShow=TRUE)*ROW(_4DesignFeatures)-ROW(DF_Calc!$B$5),ROWS($A$2:A25))),"")</f>
        <v/>
      </c>
      <c r="F43" s="274"/>
    </row>
    <row r="44" spans="2:7" ht="55.25" customHeight="1">
      <c r="B44" s="280"/>
      <c r="C44" s="218" t="str" cm="1">
        <f t="array" ref="C44">IF(ROWS($A$2:A26)&lt;=(COUNTIF(_4DesignShow,TRUE)), INDEX(_4DesignFeatures,_xlfn.AGGREGATE(15,3,(_4DesignShow=TRUE)/(_4DesignShow=TRUE)*ROW(_4DesignFeatures)-ROW(DF_Calc!$B$5),ROWS($A$2:A26))),"")</f>
        <v/>
      </c>
      <c r="D44" s="254" t="str" cm="1">
        <f t="array" ref="D44">IF(ROWS($A$2:A26)&lt;=(COUNTIF(_4DesignShow,TRUE)), INDEX(_4DesignBlurb,_xlfn.AGGREGATE(15,3,(_4DesignShow=TRUE)/(_4DesignShow=TRUE)*ROW(_4DesignFeatures)-ROW(DF_Calc!$B$5),ROWS($A$2:A26))),"")</f>
        <v/>
      </c>
      <c r="E44" s="282" t="str" cm="1">
        <f t="array" ref="E44">IF(ROWS($A$2:A26)&lt;=(COUNTIF(_4DesignShow,TRUE)), INDEX(_4DesignDescription,_xlfn.AGGREGATE(15,3,(_4DesignShow=TRUE)/(_4DesignShow=TRUE)*ROW(_4DesignFeatures)-ROW(DF_Calc!$B$5),ROWS($A$2:A26))),"")</f>
        <v/>
      </c>
      <c r="F44" s="274"/>
    </row>
    <row r="45" spans="2:7" ht="15" thickBot="1">
      <c r="B45" s="281"/>
      <c r="C45" s="217"/>
      <c r="D45" s="217"/>
      <c r="E45" s="217"/>
      <c r="F45" s="275"/>
      <c r="G45" s="276"/>
    </row>
    <row r="46" spans="2:7" s="262" customFormat="1"/>
  </sheetData>
  <mergeCells count="3">
    <mergeCell ref="C15:E15"/>
    <mergeCell ref="C18:D18"/>
    <mergeCell ref="C4:E14"/>
  </mergeCells>
  <conditionalFormatting sqref="C20:C44">
    <cfRule type="expression" dxfId="13" priority="11">
      <formula>$D20="No"</formula>
    </cfRule>
    <cfRule type="expression" dxfId="12" priority="12">
      <formula>AND($C20=0,ISBLANK($C20)=FALSE)</formula>
    </cfRule>
  </conditionalFormatting>
  <conditionalFormatting sqref="D20:D44">
    <cfRule type="expression" dxfId="11" priority="8">
      <formula>D20="Low Impact"</formula>
    </cfRule>
    <cfRule type="expression" dxfId="10" priority="9">
      <formula>D20="High Impact"</formula>
    </cfRule>
    <cfRule type="expression" dxfId="9" priority="10">
      <formula>D20="Moderate Impact"</formula>
    </cfRule>
  </conditionalFormatting>
  <conditionalFormatting sqref="D20:E44">
    <cfRule type="expression" dxfId="8" priority="7">
      <formula>$D20="No"</formula>
    </cfRule>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Introduction</vt:lpstr>
      <vt:lpstr>1. Scoping</vt:lpstr>
      <vt:lpstr>2. Hazardous events and trends</vt:lpstr>
      <vt:lpstr>3. Hazards</vt:lpstr>
      <vt:lpstr>4. Design features</vt:lpstr>
      <vt:lpstr>5. Overall resilience</vt:lpstr>
      <vt:lpstr>Overall report</vt:lpstr>
      <vt:lpstr>Impact report</vt:lpstr>
      <vt:lpstr>Strengths report</vt:lpstr>
      <vt:lpstr>Improvements report</vt:lpstr>
      <vt:lpstr>Model_Lists</vt:lpstr>
      <vt:lpstr>OverView_Calc</vt:lpstr>
      <vt:lpstr>DF_Calc</vt:lpstr>
      <vt:lpstr>Hazard_Calc</vt:lpstr>
      <vt:lpstr>_3Hazard</vt:lpstr>
      <vt:lpstr>_3HazardJustification</vt:lpstr>
      <vt:lpstr>_3HazardRating</vt:lpstr>
      <vt:lpstr>_3HazardShow</vt:lpstr>
      <vt:lpstr>_4DesignBlurb</vt:lpstr>
      <vt:lpstr>_4DesignClimate</vt:lpstr>
      <vt:lpstr>_4DesignDescription</vt:lpstr>
      <vt:lpstr>_4DesignFeatures</vt:lpstr>
      <vt:lpstr>_4DesignImprovement</vt:lpstr>
      <vt:lpstr>_4DesignShow</vt:lpstr>
      <vt:lpstr>_4DesignShowImprovement</vt:lpstr>
      <vt:lpstr>CID</vt:lpstr>
      <vt:lpstr>CID_ChangeCheck</vt:lpstr>
      <vt:lpstr>CIDrelevent</vt:lpstr>
      <vt:lpstr>CIDreleventDefaultMatrix</vt:lpstr>
      <vt:lpstr>DesignFeature</vt:lpstr>
      <vt:lpstr>FilterHazard</vt:lpstr>
      <vt:lpstr>Hazard</vt:lpstr>
      <vt:lpstr>HazardsMatrix</vt:lpstr>
      <vt:lpstr>'Overall report'!Print_Area</vt:lpstr>
      <vt:lpstr>RatingOptions2</vt:lpstr>
      <vt:lpstr>RatingOptions3</vt:lpstr>
      <vt:lpstr>RatingOptionSelect</vt:lpstr>
      <vt:lpstr>RatingOptionsHazard</vt:lpstr>
      <vt:lpstr>ratingOverall</vt:lpstr>
      <vt:lpstr>releventOptions</vt:lpstr>
      <vt:lpstr>ReportOptions</vt:lpstr>
      <vt:lpstr>resilienceRating</vt:lpstr>
      <vt:lpstr>scoreWeight</vt:lpstr>
      <vt:lpstr>TotalScore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 Chau</dc:creator>
  <cp:lastModifiedBy>Tanya Xaybounheuang</cp:lastModifiedBy>
  <cp:lastPrinted>2022-08-17T00:13:02Z</cp:lastPrinted>
  <dcterms:created xsi:type="dcterms:W3CDTF">2022-04-12T22:33:44Z</dcterms:created>
  <dcterms:modified xsi:type="dcterms:W3CDTF">2023-10-11T02:57:07Z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1a6c3db-1667-4f49-995a-8b9973972958_Enabled">
    <vt:lpwstr>true</vt:lpwstr>
  </property>
  <property fmtid="{D5CDD505-2E9C-101B-9397-08002B2CF9AE}" pid="3" name="MSIP_Label_51a6c3db-1667-4f49-995a-8b9973972958_SetDate">
    <vt:lpwstr>2022-07-10T21:48:22Z</vt:lpwstr>
  </property>
  <property fmtid="{D5CDD505-2E9C-101B-9397-08002B2CF9AE}" pid="4" name="MSIP_Label_51a6c3db-1667-4f49-995a-8b9973972958_Method">
    <vt:lpwstr>Standard</vt:lpwstr>
  </property>
  <property fmtid="{D5CDD505-2E9C-101B-9397-08002B2CF9AE}" pid="5" name="MSIP_Label_51a6c3db-1667-4f49-995a-8b9973972958_Name">
    <vt:lpwstr>UTS-Internal</vt:lpwstr>
  </property>
  <property fmtid="{D5CDD505-2E9C-101B-9397-08002B2CF9AE}" pid="6" name="MSIP_Label_51a6c3db-1667-4f49-995a-8b9973972958_SiteId">
    <vt:lpwstr>e8911c26-cf9f-4a9c-878e-527807be8791</vt:lpwstr>
  </property>
  <property fmtid="{D5CDD505-2E9C-101B-9397-08002B2CF9AE}" pid="7" name="MSIP_Label_51a6c3db-1667-4f49-995a-8b9973972958_ActionId">
    <vt:lpwstr>b15c21cf-0cd9-4e90-a1c1-92cdc4f52a75</vt:lpwstr>
  </property>
  <property fmtid="{D5CDD505-2E9C-101B-9397-08002B2CF9AE}" pid="8" name="MSIP_Label_51a6c3db-1667-4f49-995a-8b9973972958_ContentBits">
    <vt:lpwstr>0</vt:lpwstr>
  </property>
</Properties>
</file>